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5"/>
  <workbookPr/>
  <mc:AlternateContent xmlns:mc="http://schemas.openxmlformats.org/markup-compatibility/2006">
    <mc:Choice Requires="x15">
      <x15ac:absPath xmlns:x15ac="http://schemas.microsoft.com/office/spreadsheetml/2010/11/ac" url="https://d.docs.live.net/a6e06247e82a0945/2024_SSINGEI_PA/2024_02INV_PA/2024_IGEI_04UT/2024_DA_04UT/"/>
    </mc:Choice>
  </mc:AlternateContent>
  <xr:revisionPtr revIDLastSave="646" documentId="13_ncr:1_{F7F48802-3463-4E95-945F-CD1439ACDFC1}" xr6:coauthVersionLast="47" xr6:coauthVersionMax="47" xr10:uidLastSave="{F6094A51-9B9D-4EA5-8277-4544A93D9416}"/>
  <bookViews>
    <workbookView xWindow="-110" yWindow="-110" windowWidth="19420" windowHeight="10300" firstSheet="6" activeTab="6" xr2:uid="{00000000-000D-0000-FFFF-FFFF00000000}"/>
  </bookViews>
  <sheets>
    <sheet name="Hoja1" sheetId="1" state="hidden" r:id="rId1"/>
    <sheet name="Información" sheetId="11" r:id="rId2"/>
    <sheet name="Leña" sheetId="3" r:id="rId3"/>
    <sheet name="Madera Plantaciones" sheetId="4" r:id="rId4"/>
    <sheet name="Madera Bosque Natural" sheetId="5" r:id="rId5"/>
    <sheet name="Madera Áreas Agropecuaias " sheetId="10" r:id="rId6"/>
    <sheet name="Incendios" sheetId="7" r:id="rId7"/>
    <sheet name="Asentamientos" sheetId="12" r:id="rId8"/>
    <sheet name="Producción Pez" sheetId="13" r:id="rId9"/>
    <sheet name="Musáceas" sheetId="14"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7" hidden="1">Asentamientos!$C$4:$C$35</definedName>
    <definedName name="_xlnm._FilterDatabase" localSheetId="6" hidden="1">Incendios!$C$3:$C$36</definedName>
    <definedName name="_xlnm._FilterDatabase" localSheetId="2" hidden="1">Leña!$C$3:$C$37</definedName>
    <definedName name="_xlnm._FilterDatabase" localSheetId="5" hidden="1">'Madera Áreas Agropecuaias '!$C$3:$C$35</definedName>
    <definedName name="_xlnm._FilterDatabase" localSheetId="4" hidden="1">'Madera Bosque Natural'!$C$3:$C$35</definedName>
    <definedName name="_xlnm._FilterDatabase" localSheetId="3" hidden="1">'Madera Plantaciones'!$C$3:$C$35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5" l="1"/>
  <c r="D37" i="5"/>
  <c r="G37" i="4"/>
  <c r="D37" i="4"/>
  <c r="D36" i="4"/>
  <c r="J38" i="7"/>
  <c r="I38" i="7"/>
  <c r="M38" i="7"/>
  <c r="K38" i="7"/>
  <c r="H38" i="7"/>
  <c r="G38" i="7"/>
  <c r="F38" i="7"/>
  <c r="E38" i="7"/>
  <c r="D38" i="7"/>
  <c r="E39" i="3"/>
  <c r="F39" i="3"/>
  <c r="G39" i="3"/>
  <c r="H39" i="3"/>
  <c r="I39" i="3"/>
  <c r="D34" i="5"/>
  <c r="C17" i="14"/>
  <c r="C18" i="14"/>
  <c r="C19" i="14"/>
  <c r="C20" i="14"/>
  <c r="C21" i="14"/>
  <c r="C23" i="14"/>
  <c r="C22" i="14"/>
  <c r="C24" i="14"/>
  <c r="D35" i="4"/>
  <c r="C16" i="14"/>
  <c r="C15" i="14"/>
  <c r="C14" i="14"/>
  <c r="C13" i="14"/>
  <c r="C12" i="14"/>
  <c r="C11" i="14"/>
  <c r="C10" i="14"/>
  <c r="C9" i="14"/>
  <c r="C8" i="14"/>
  <c r="C7" i="14"/>
  <c r="C6" i="14"/>
  <c r="C5" i="14"/>
  <c r="C4" i="14"/>
  <c r="C3" i="14"/>
  <c r="E34" i="5"/>
  <c r="D36" i="5"/>
  <c r="D35" i="5"/>
  <c r="G35" i="4"/>
  <c r="G36" i="4"/>
  <c r="H35" i="4"/>
  <c r="F36" i="4"/>
  <c r="E36" i="4"/>
  <c r="M36" i="7"/>
  <c r="E38" i="3"/>
  <c r="E37" i="3"/>
  <c r="F37" i="3" s="1"/>
  <c r="H16" i="13"/>
  <c r="H3" i="13"/>
  <c r="B3" i="13"/>
  <c r="G23" i="13"/>
  <c r="D23" i="13"/>
  <c r="H23" i="13" s="1"/>
  <c r="F38" i="3"/>
  <c r="M17" i="7"/>
  <c r="G15" i="13"/>
  <c r="G17" i="13"/>
  <c r="G19" i="13"/>
  <c r="G20" i="13"/>
  <c r="G22" i="13"/>
  <c r="G14" i="13"/>
  <c r="G7" i="13"/>
  <c r="G8" i="13"/>
  <c r="G9" i="13"/>
  <c r="G10" i="13"/>
  <c r="G11" i="13"/>
  <c r="G12" i="13"/>
  <c r="G13" i="13"/>
  <c r="G2" i="13"/>
  <c r="D15" i="13"/>
  <c r="H15" i="13" s="1"/>
  <c r="D17" i="13"/>
  <c r="H17" i="13" s="1"/>
  <c r="D19" i="13"/>
  <c r="H19" i="13" s="1"/>
  <c r="D20" i="13"/>
  <c r="H20" i="13" s="1"/>
  <c r="D22" i="13"/>
  <c r="H22" i="13" s="1"/>
  <c r="D14" i="13"/>
  <c r="H14" i="13" s="1"/>
  <c r="D7" i="13"/>
  <c r="H7" i="13" s="1"/>
  <c r="D8" i="13"/>
  <c r="H8" i="13" s="1"/>
  <c r="D9" i="13"/>
  <c r="H9" i="13" s="1"/>
  <c r="D10" i="13"/>
  <c r="H10" i="13" s="1"/>
  <c r="D11" i="13"/>
  <c r="H11" i="13" s="1"/>
  <c r="D12" i="13"/>
  <c r="H12" i="13" s="1"/>
  <c r="D13" i="13"/>
  <c r="H13" i="13" s="1"/>
  <c r="D2" i="13"/>
  <c r="H2" i="13" s="1"/>
  <c r="E3" i="13"/>
  <c r="D3" i="13"/>
  <c r="B4" i="13"/>
  <c r="B16" i="13"/>
  <c r="D16" i="13" s="1"/>
  <c r="E16" i="13"/>
  <c r="G16" i="13" s="1"/>
  <c r="B18" i="13"/>
  <c r="D18" i="13" s="1"/>
  <c r="E18" i="13"/>
  <c r="G18" i="13" s="1"/>
  <c r="B21" i="13"/>
  <c r="D21" i="13" s="1"/>
  <c r="E21" i="13"/>
  <c r="G21" i="13" s="1"/>
  <c r="M37" i="7"/>
  <c r="K37" i="7"/>
  <c r="J37" i="7"/>
  <c r="I37" i="7"/>
  <c r="H37" i="7"/>
  <c r="G37" i="7"/>
  <c r="F37" i="7"/>
  <c r="E37" i="7"/>
  <c r="D37" i="7"/>
  <c r="J36" i="7"/>
  <c r="I36" i="7"/>
  <c r="D36" i="7"/>
  <c r="K36" i="7"/>
  <c r="H36" i="7"/>
  <c r="G36" i="7"/>
  <c r="F36" i="7"/>
  <c r="E36" i="7"/>
  <c r="J12" i="7"/>
  <c r="J13" i="7"/>
  <c r="J14" i="7"/>
  <c r="J15" i="7"/>
  <c r="J16" i="7"/>
  <c r="J17" i="7"/>
  <c r="J18" i="7"/>
  <c r="J19" i="7"/>
  <c r="J20" i="7"/>
  <c r="J21" i="7"/>
  <c r="J22" i="7"/>
  <c r="J23" i="7"/>
  <c r="J24" i="7"/>
  <c r="J25" i="7"/>
  <c r="J26" i="7"/>
  <c r="J27" i="7"/>
  <c r="J28" i="7"/>
  <c r="J29" i="7"/>
  <c r="J30" i="7"/>
  <c r="J31" i="7"/>
  <c r="J32" i="7"/>
  <c r="J33" i="7"/>
  <c r="J34" i="7"/>
  <c r="J35" i="7"/>
  <c r="J11" i="7"/>
  <c r="J10" i="7"/>
  <c r="I10" i="7"/>
  <c r="H36" i="4" l="1"/>
  <c r="D4" i="13"/>
  <c r="B5" i="13"/>
  <c r="I38" i="3"/>
  <c r="H38" i="3"/>
  <c r="G38" i="3"/>
  <c r="I37" i="3"/>
  <c r="H37" i="3"/>
  <c r="G37" i="3"/>
  <c r="H21" i="13"/>
  <c r="H18" i="13"/>
  <c r="E4" i="13"/>
  <c r="G3" i="13"/>
  <c r="M16" i="7"/>
  <c r="M18" i="7"/>
  <c r="M19" i="7"/>
  <c r="M20" i="7"/>
  <c r="M21" i="7"/>
  <c r="M22" i="7"/>
  <c r="M23" i="7"/>
  <c r="M24" i="7"/>
  <c r="M25" i="7"/>
  <c r="M26" i="7"/>
  <c r="M27" i="7"/>
  <c r="M28" i="7"/>
  <c r="M29" i="7"/>
  <c r="M30" i="7"/>
  <c r="M31" i="7"/>
  <c r="M32" i="7"/>
  <c r="M33" i="7"/>
  <c r="M34" i="7"/>
  <c r="M35" i="7"/>
  <c r="D33" i="5"/>
  <c r="D18" i="5"/>
  <c r="D20" i="5" s="1"/>
  <c r="F34" i="4"/>
  <c r="G15" i="4"/>
  <c r="E34" i="4"/>
  <c r="D34" i="4"/>
  <c r="D5" i="13" l="1"/>
  <c r="B6" i="13"/>
  <c r="D6" i="13" s="1"/>
  <c r="G4" i="13"/>
  <c r="H4" i="13" s="1"/>
  <c r="E5" i="13"/>
  <c r="G34" i="4"/>
  <c r="F33" i="4"/>
  <c r="E33" i="4"/>
  <c r="D33" i="4"/>
  <c r="D48" i="4" s="1"/>
  <c r="G5" i="4"/>
  <c r="H5" i="4" s="1"/>
  <c r="G6" i="4"/>
  <c r="H6" i="4" s="1"/>
  <c r="G7" i="4"/>
  <c r="H7" i="4" s="1"/>
  <c r="G8" i="4"/>
  <c r="H8" i="4"/>
  <c r="G9" i="4"/>
  <c r="H9" i="4" s="1"/>
  <c r="G10" i="4"/>
  <c r="H10" i="4" s="1"/>
  <c r="G11" i="4"/>
  <c r="H11" i="4" s="1"/>
  <c r="G12" i="4"/>
  <c r="H12" i="4" s="1"/>
  <c r="G13" i="4"/>
  <c r="H13" i="4" s="1"/>
  <c r="G14" i="4"/>
  <c r="H14" i="4" s="1"/>
  <c r="H15" i="4"/>
  <c r="G16" i="4"/>
  <c r="H16" i="4" s="1"/>
  <c r="G17" i="4"/>
  <c r="H17" i="4" s="1"/>
  <c r="G18" i="4"/>
  <c r="H18" i="4" s="1"/>
  <c r="G19" i="4"/>
  <c r="H19" i="4" s="1"/>
  <c r="G20" i="4"/>
  <c r="H20" i="4" s="1"/>
  <c r="G21" i="4"/>
  <c r="H21" i="4" s="1"/>
  <c r="G22" i="4"/>
  <c r="H22" i="4" s="1"/>
  <c r="G23" i="4"/>
  <c r="H23" i="4" s="1"/>
  <c r="G24" i="4"/>
  <c r="H24" i="4" s="1"/>
  <c r="G25" i="4"/>
  <c r="H25" i="4" s="1"/>
  <c r="G26" i="4"/>
  <c r="H26" i="4"/>
  <c r="G27" i="4"/>
  <c r="H27" i="4" s="1"/>
  <c r="G28" i="4"/>
  <c r="H28" i="4" s="1"/>
  <c r="G29" i="4"/>
  <c r="H29" i="4" s="1"/>
  <c r="G30" i="4"/>
  <c r="H30" i="4" s="1"/>
  <c r="G31" i="4"/>
  <c r="H31" i="4" s="1"/>
  <c r="G32" i="4"/>
  <c r="H34" i="4"/>
  <c r="E33" i="3"/>
  <c r="E7" i="3"/>
  <c r="F7" i="3" s="1"/>
  <c r="J35" i="4" l="1"/>
  <c r="J36" i="4"/>
  <c r="I7" i="3"/>
  <c r="G7" i="3"/>
  <c r="H7" i="3"/>
  <c r="H32" i="4"/>
  <c r="G5" i="13"/>
  <c r="H5" i="13" s="1"/>
  <c r="E6" i="13"/>
  <c r="G6" i="13" s="1"/>
  <c r="H6" i="13" s="1"/>
  <c r="G33" i="4"/>
  <c r="E13" i="3"/>
  <c r="H33" i="4" l="1"/>
  <c r="E36" i="3"/>
  <c r="F36" i="3" s="1"/>
  <c r="I36" i="3" l="1"/>
  <c r="H36" i="3"/>
  <c r="G36" i="3"/>
  <c r="F77" i="3" l="1"/>
  <c r="E35" i="3" l="1"/>
  <c r="F35" i="3" s="1"/>
  <c r="G35" i="3" l="1"/>
  <c r="I35" i="3"/>
  <c r="H35" i="3"/>
  <c r="E8" i="3"/>
  <c r="F8" i="3" s="1"/>
  <c r="E9" i="3"/>
  <c r="F9" i="3" s="1"/>
  <c r="E10" i="3"/>
  <c r="F10" i="3" s="1"/>
  <c r="E11" i="3"/>
  <c r="F11" i="3" s="1"/>
  <c r="E12" i="3"/>
  <c r="F12" i="3" s="1"/>
  <c r="F13" i="3"/>
  <c r="E14" i="3"/>
  <c r="F14" i="3" s="1"/>
  <c r="E15" i="3"/>
  <c r="F15" i="3" s="1"/>
  <c r="E16" i="3"/>
  <c r="F16" i="3" s="1"/>
  <c r="E17" i="3"/>
  <c r="F17" i="3" s="1"/>
  <c r="E18" i="3"/>
  <c r="F18" i="3" s="1"/>
  <c r="I18" i="3" s="1"/>
  <c r="E19" i="3"/>
  <c r="F19" i="3" s="1"/>
  <c r="E20" i="3"/>
  <c r="F20" i="3" s="1"/>
  <c r="E21" i="3"/>
  <c r="F21" i="3" s="1"/>
  <c r="E22" i="3"/>
  <c r="F22" i="3" s="1"/>
  <c r="E23" i="3"/>
  <c r="F23" i="3" s="1"/>
  <c r="E24" i="3"/>
  <c r="F24" i="3" s="1"/>
  <c r="E25" i="3"/>
  <c r="F25" i="3" s="1"/>
  <c r="E26" i="3"/>
  <c r="F26" i="3" s="1"/>
  <c r="E27" i="3"/>
  <c r="F27" i="3" s="1"/>
  <c r="E28" i="3"/>
  <c r="F28" i="3" s="1"/>
  <c r="E29" i="3"/>
  <c r="F29" i="3" s="1"/>
  <c r="E30" i="3"/>
  <c r="F30" i="3" s="1"/>
  <c r="E31" i="3"/>
  <c r="F31" i="3" s="1"/>
  <c r="E32" i="3"/>
  <c r="F32" i="3" s="1"/>
  <c r="F33" i="3"/>
  <c r="E34" i="3"/>
  <c r="F34" i="3" s="1"/>
  <c r="G34" i="3" l="1"/>
  <c r="I34" i="3"/>
  <c r="H34" i="3"/>
  <c r="L34" i="3"/>
  <c r="K34" i="3"/>
  <c r="J34" i="3"/>
  <c r="G33" i="3"/>
  <c r="I33" i="3"/>
  <c r="H33" i="3"/>
  <c r="G32" i="3"/>
  <c r="I32" i="3"/>
  <c r="H32" i="3"/>
  <c r="G31" i="3"/>
  <c r="I31" i="3"/>
  <c r="H31" i="3"/>
  <c r="G30" i="3"/>
  <c r="I30" i="3"/>
  <c r="H30" i="3"/>
  <c r="G29" i="3"/>
  <c r="I29" i="3"/>
  <c r="H29" i="3"/>
  <c r="G28" i="3"/>
  <c r="I28" i="3"/>
  <c r="H28" i="3"/>
  <c r="G27" i="3"/>
  <c r="I27" i="3"/>
  <c r="H27" i="3"/>
  <c r="G26" i="3"/>
  <c r="I26" i="3"/>
  <c r="H26" i="3"/>
  <c r="G25" i="3"/>
  <c r="I25" i="3"/>
  <c r="H25" i="3"/>
  <c r="G24" i="3"/>
  <c r="I24" i="3"/>
  <c r="H24" i="3"/>
  <c r="G23" i="3"/>
  <c r="I23" i="3"/>
  <c r="H23" i="3"/>
  <c r="G22" i="3"/>
  <c r="I22" i="3"/>
  <c r="H22" i="3"/>
  <c r="G21" i="3"/>
  <c r="I21" i="3"/>
  <c r="H21" i="3"/>
  <c r="G20" i="3"/>
  <c r="I20" i="3"/>
  <c r="H20" i="3"/>
  <c r="G19" i="3"/>
  <c r="I19" i="3"/>
  <c r="H19" i="3"/>
  <c r="G18" i="3"/>
  <c r="H18" i="3"/>
  <c r="G17" i="3"/>
  <c r="I17" i="3"/>
  <c r="H17" i="3"/>
  <c r="G16" i="3"/>
  <c r="I16" i="3"/>
  <c r="H16" i="3"/>
  <c r="G15" i="3"/>
  <c r="I15" i="3"/>
  <c r="H15" i="3"/>
  <c r="G14" i="3"/>
  <c r="I14" i="3"/>
  <c r="H14" i="3"/>
  <c r="G13" i="3"/>
  <c r="I13" i="3"/>
  <c r="H13" i="3"/>
  <c r="G12" i="3"/>
  <c r="I12" i="3"/>
  <c r="H12" i="3"/>
  <c r="G11" i="3"/>
  <c r="I11" i="3"/>
  <c r="H11" i="3"/>
  <c r="G10" i="3"/>
  <c r="I10" i="3"/>
  <c r="H10" i="3"/>
  <c r="G9" i="3"/>
  <c r="I9" i="3"/>
  <c r="H9" i="3"/>
  <c r="G8" i="3"/>
  <c r="I8" i="3"/>
  <c r="H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UTCUTS Panamá</author>
  </authors>
  <commentList>
    <comment ref="H23" authorId="0" shapeId="0" xr:uid="{4C172145-928B-48EE-8558-BDF0DCAED302}">
      <text>
        <r>
          <rPr>
            <sz val="11"/>
            <color theme="1"/>
            <rFont val="Calibri"/>
            <family val="2"/>
            <scheme val="minor"/>
          </rPr>
          <t xml:space="preserve">UTCUTS Panamá:
Estos datos son los mismos a los del 2020.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UTCUTS Panamá</author>
    <author>tc={7485C39B-C012-42A5-A44F-463B58BE6634}</author>
  </authors>
  <commentList>
    <comment ref="C23" authorId="0" shapeId="0" xr:uid="{B454628A-5B82-4F39-B9D7-D43C170ECC7A}">
      <text>
        <r>
          <rPr>
            <sz val="11"/>
            <color theme="1"/>
            <rFont val="Calibri"/>
            <family val="2"/>
            <scheme val="minor"/>
          </rPr>
          <t xml:space="preserve">UTCUTS Panamá:
Dato proveniente de cierra agrícola del MIDA
</t>
        </r>
      </text>
    </comment>
    <comment ref="C24" authorId="1" shapeId="0" xr:uid="{7485C39B-C012-42A5-A44F-463B58BE6634}">
      <text>
        <t>[Threaded comment]
Your version of Excel allows you to read this threaded comment; however, any edits to it will get removed if the file is opened in a newer version of Excel. Learn more: https://go.microsoft.com/fwlink/?linkid=870924
Comment:
    Datos provenientes del MIDA cierre agrícola</t>
      </text>
    </comment>
  </commentList>
</comments>
</file>

<file path=xl/sharedStrings.xml><?xml version="1.0" encoding="utf-8"?>
<sst xmlns="http://schemas.openxmlformats.org/spreadsheetml/2006/main" count="300" uniqueCount="190">
  <si>
    <t>RTH</t>
  </si>
  <si>
    <t>Región Tropical Húmeda</t>
  </si>
  <si>
    <t>RTMH</t>
  </si>
  <si>
    <t>Región Tropical Muy Húmeda</t>
  </si>
  <si>
    <t>RTM</t>
  </si>
  <si>
    <t>Región Tropical Montano</t>
  </si>
  <si>
    <t>Tipo de datos de actividad</t>
  </si>
  <si>
    <t xml:space="preserve">Valores de dato de actividad </t>
  </si>
  <si>
    <t>Referencia</t>
  </si>
  <si>
    <t>Otra información</t>
  </si>
  <si>
    <t>Nombre del documento de donde se obtuvo la información</t>
  </si>
  <si>
    <t>Incremento Medio Anual por región climática</t>
  </si>
  <si>
    <t>Nombre común</t>
  </si>
  <si>
    <t>Nombre científico</t>
  </si>
  <si>
    <t>Regiones Climáticas</t>
  </si>
  <si>
    <t>Teca</t>
  </si>
  <si>
    <t xml:space="preserve">Tectona grandis </t>
  </si>
  <si>
    <t>Pino caribea</t>
  </si>
  <si>
    <t>Pinus caribaea</t>
  </si>
  <si>
    <t>Cedro espino</t>
  </si>
  <si>
    <t>Bombacopsis quinata</t>
  </si>
  <si>
    <t>Acacia mangio</t>
  </si>
  <si>
    <t>Acacia mangium</t>
  </si>
  <si>
    <t>Caoba africana</t>
  </si>
  <si>
    <t>Khaya senegalensis</t>
  </si>
  <si>
    <t xml:space="preserve">Caoba </t>
  </si>
  <si>
    <t>Swietenia macrophylla</t>
  </si>
  <si>
    <t>Cedro amargo</t>
  </si>
  <si>
    <t>Cedrela odorata</t>
  </si>
  <si>
    <t>Otras especies</t>
  </si>
  <si>
    <t>CUADRO DERIVADO DEL ARCHIVO AJUSTADO: IMA de Plantaciones Rev. RGR</t>
  </si>
  <si>
    <t>Información General</t>
  </si>
  <si>
    <t>Nombre del Archivo</t>
  </si>
  <si>
    <t>Plantilla de Otros Datos de Actividad de UTCUTS de INGEI 2022</t>
  </si>
  <si>
    <t>Código del Archivo</t>
  </si>
  <si>
    <t>Anexo Prod. 14 (plantilla 2022_DA_OT_UT)</t>
  </si>
  <si>
    <t>Cargo</t>
  </si>
  <si>
    <t>Analista de Cambio Climático del Departamento de Mitigación de la Dirección de Cambio Climático</t>
  </si>
  <si>
    <t>Organización</t>
  </si>
  <si>
    <t>Ministerio de Ambiente de Panamá</t>
  </si>
  <si>
    <t>Correo</t>
  </si>
  <si>
    <t>ybcastillo@miambiente.gob.pa</t>
  </si>
  <si>
    <t>Historial de Versiones</t>
  </si>
  <si>
    <t>Producto 5_Fuentes DA_TF</t>
  </si>
  <si>
    <t>Producto 8: 2020_DA_EST_04UT.uv</t>
  </si>
  <si>
    <t>Prod. 11 2022_DA _OT _04UT</t>
  </si>
  <si>
    <t>Versión</t>
  </si>
  <si>
    <t>Anexo prod. 14</t>
  </si>
  <si>
    <t>Fecha</t>
  </si>
  <si>
    <t>Comentario</t>
  </si>
  <si>
    <t>Plantilla nueva para datos paramétricos</t>
  </si>
  <si>
    <t>Consumo Anual de Leña y Categorías de Tierras de las que se Extrae Leña</t>
  </si>
  <si>
    <t>Tipo de Datos de Actividad</t>
  </si>
  <si>
    <t>Años</t>
  </si>
  <si>
    <t>Toneladas y Volumen</t>
  </si>
  <si>
    <t>Consumo de Leña</t>
  </si>
  <si>
    <t>Categoría de Tierras Donde se Extrae la Leña</t>
  </si>
  <si>
    <t xml:space="preserve">Kbep* </t>
  </si>
  <si>
    <t>Toneladas</t>
  </si>
  <si>
    <r>
      <t>Volumen Total            m</t>
    </r>
    <r>
      <rPr>
        <b/>
        <vertAlign val="superscript"/>
        <sz val="11"/>
        <color theme="1"/>
        <rFont val="Calibri"/>
        <family val="2"/>
        <scheme val="minor"/>
      </rPr>
      <t>3</t>
    </r>
  </si>
  <si>
    <r>
      <t>Bosque maduro m</t>
    </r>
    <r>
      <rPr>
        <b/>
        <vertAlign val="superscript"/>
        <sz val="11"/>
        <color theme="1"/>
        <rFont val="Calibri"/>
        <family val="2"/>
        <scheme val="minor"/>
      </rPr>
      <t>3</t>
    </r>
    <r>
      <rPr>
        <b/>
        <sz val="11"/>
        <color theme="1"/>
        <rFont val="Calibri"/>
        <family val="2"/>
        <scheme val="minor"/>
      </rPr>
      <t xml:space="preserve"> </t>
    </r>
  </si>
  <si>
    <r>
      <t>Bosque Secundario      m</t>
    </r>
    <r>
      <rPr>
        <b/>
        <vertAlign val="superscript"/>
        <sz val="11"/>
        <color theme="1"/>
        <rFont val="Calibri"/>
        <family val="2"/>
        <scheme val="minor"/>
      </rPr>
      <t>3</t>
    </r>
  </si>
  <si>
    <r>
      <t>Rastrojo               m</t>
    </r>
    <r>
      <rPr>
        <b/>
        <vertAlign val="superscript"/>
        <sz val="11"/>
        <color theme="1"/>
        <rFont val="Calibri"/>
        <family val="2"/>
        <scheme val="minor"/>
      </rPr>
      <t>3</t>
    </r>
  </si>
  <si>
    <t>Consumo Anual de Leña</t>
  </si>
  <si>
    <t>*Kbep = Kilobarriles equivalentes de petróleo.</t>
  </si>
  <si>
    <r>
      <rPr>
        <vertAlign val="superscript"/>
        <sz val="11"/>
        <color theme="1"/>
        <rFont val="Calibri"/>
        <family val="2"/>
        <scheme val="minor"/>
      </rPr>
      <t>1/</t>
    </r>
    <r>
      <rPr>
        <sz val="11"/>
        <color theme="1"/>
        <rFont val="Calibri"/>
        <family val="2"/>
        <scheme val="minor"/>
      </rPr>
      <t xml:space="preserve"> inlcluye las áreas con pasto natural, pastro tradicional, pasto mejorado y bancos proteicos.</t>
    </r>
  </si>
  <si>
    <t>Fuente</t>
  </si>
  <si>
    <t>Para valores en Kbep: Secretaria Nacional de Energía, Panamá</t>
  </si>
  <si>
    <r>
      <t>Para valores en toneladas y m</t>
    </r>
    <r>
      <rPr>
        <vertAlign val="superscript"/>
        <sz val="11"/>
        <color theme="1"/>
        <rFont val="Calibri"/>
        <family val="2"/>
        <scheme val="minor"/>
      </rPr>
      <t>3</t>
    </r>
    <r>
      <rPr>
        <sz val="11"/>
        <color theme="1"/>
        <rFont val="Calibri"/>
        <family val="2"/>
        <scheme val="minor"/>
      </rPr>
      <t>, se realizaron ajustes por parte del equipo técnico de AFOLU</t>
    </r>
  </si>
  <si>
    <t>Los Valores para cada categorías de donde se extrae leña son estimados con base en los datos de biomasa del INFC.</t>
  </si>
  <si>
    <t>Comentarios</t>
  </si>
  <si>
    <t xml:space="preserve">La Secretaría Nacional de Energía determinó los valores de kbep y de toneladas de leña, señalando el siguiente procedimiento:                                        </t>
  </si>
  <si>
    <t>1. Se utiliza como base los datos de los censos nacionales de población y vivienda que indican el número de viviendas que consumen leña en el país.</t>
  </si>
  <si>
    <t>2. Se estima el consumo de leña por vivienda utilizando un consumo promedio por familia equivalente a 5.48 metros cúbicos.</t>
  </si>
  <si>
    <t>3. Se aplica la metodología de OLADE:   Producción = Consumo Final</t>
  </si>
  <si>
    <t>A partir del año 2020, la SNE provee los datos directamente en toneladas métricas</t>
  </si>
  <si>
    <t>Nombre del Documento de donde se Obtuvo la Información</t>
  </si>
  <si>
    <t>Consultoría - Determinaccion de datos de densidades de especies forestales -Version Semi final -02.05.2020</t>
  </si>
  <si>
    <t>Especies usadas para leña</t>
  </si>
  <si>
    <t>Otra Información</t>
  </si>
  <si>
    <t>Tonelada</t>
  </si>
  <si>
    <t>KBEP</t>
  </si>
  <si>
    <t>Densidad Determinada por Secretaría Nacional de Energía</t>
  </si>
  <si>
    <t>Densidad Promedio, Basada en 12 Especies Utilizadas para Leña en Panamá</t>
  </si>
  <si>
    <r>
      <t>m</t>
    </r>
    <r>
      <rPr>
        <vertAlign val="superscript"/>
        <sz val="9"/>
        <color theme="1"/>
        <rFont val="Calibri"/>
        <family val="2"/>
        <scheme val="minor"/>
      </rPr>
      <t>3</t>
    </r>
  </si>
  <si>
    <r>
      <t xml:space="preserve">Densidad promedio, calculada en el siguiente cuadro, con base en 12 especies utilizadas para leña en Panamá </t>
    </r>
    <r>
      <rPr>
        <b/>
        <vertAlign val="superscript"/>
        <sz val="9"/>
        <color theme="1"/>
        <rFont val="Calibri"/>
        <family val="2"/>
        <scheme val="minor"/>
      </rPr>
      <t>2/</t>
    </r>
  </si>
  <si>
    <r>
      <t>Densidad Promedio (gr/cm</t>
    </r>
    <r>
      <rPr>
        <b/>
        <vertAlign val="superscript"/>
        <sz val="9"/>
        <color theme="1"/>
        <rFont val="Calibri"/>
        <family val="2"/>
        <scheme val="minor"/>
      </rPr>
      <t>3</t>
    </r>
    <r>
      <rPr>
        <b/>
        <sz val="9"/>
        <color theme="1"/>
        <rFont val="Calibri"/>
        <family val="2"/>
        <scheme val="minor"/>
      </rPr>
      <t>)</t>
    </r>
  </si>
  <si>
    <t>Nombe Común</t>
  </si>
  <si>
    <t>Nombre Científico</t>
  </si>
  <si>
    <t>Densidad</t>
  </si>
  <si>
    <t>Corotú</t>
  </si>
  <si>
    <t>Enterolobium cyclocarpum</t>
  </si>
  <si>
    <t>Guácimo</t>
  </si>
  <si>
    <t>Guazuma ulmifolia</t>
  </si>
  <si>
    <t>Guabo</t>
  </si>
  <si>
    <t>Inga sp</t>
  </si>
  <si>
    <t>Guachapali</t>
  </si>
  <si>
    <t>Samanea saman</t>
  </si>
  <si>
    <t>Higuerón</t>
  </si>
  <si>
    <t>Ficus insipida</t>
  </si>
  <si>
    <t>Laurel</t>
  </si>
  <si>
    <t>Cordia alliodora</t>
  </si>
  <si>
    <t>Macano</t>
  </si>
  <si>
    <t>Diphysa americana</t>
  </si>
  <si>
    <t>Madroño</t>
  </si>
  <si>
    <t>Calycophyllum sp</t>
  </si>
  <si>
    <t>Nance</t>
  </si>
  <si>
    <t>Byrsonima crassifolia</t>
  </si>
  <si>
    <t>Quira</t>
  </si>
  <si>
    <t>Platymiscium pinnatum</t>
  </si>
  <si>
    <t>Roble</t>
  </si>
  <si>
    <t>Tabebuia rosea</t>
  </si>
  <si>
    <t>Sigua</t>
  </si>
  <si>
    <t>Nectandra lineata</t>
  </si>
  <si>
    <t>Promedio</t>
  </si>
  <si>
    <r>
      <t>Fuente: Raúl Gutiérrez</t>
    </r>
    <r>
      <rPr>
        <sz val="9"/>
        <color theme="1"/>
        <rFont val="Calibri"/>
        <family val="2"/>
        <scheme val="minor"/>
      </rPr>
      <t xml:space="preserve"> R.</t>
    </r>
  </si>
  <si>
    <r>
      <rPr>
        <b/>
        <vertAlign val="superscript"/>
        <sz val="9"/>
        <color theme="1"/>
        <rFont val="Calibri"/>
        <family val="2"/>
        <scheme val="minor"/>
      </rPr>
      <t>2/</t>
    </r>
    <r>
      <rPr>
        <sz val="9"/>
        <color theme="1"/>
        <rFont val="Calibri"/>
        <family val="2"/>
        <scheme val="minor"/>
      </rPr>
      <t xml:space="preserve"> La lista no es exaustiva.</t>
    </r>
  </si>
  <si>
    <t>Volumen Anual de Madera Aprovechada                                                                                                                (Tierras Forestales)</t>
  </si>
  <si>
    <t>Metros Cúbicos</t>
  </si>
  <si>
    <t>Pino</t>
  </si>
  <si>
    <t>Otras Latifoliadas</t>
  </si>
  <si>
    <t>Total Latifoliadas</t>
  </si>
  <si>
    <t>Total</t>
  </si>
  <si>
    <t>Volumen Aprovechado de Bosques Plantados</t>
  </si>
  <si>
    <t>s/d = sin datos.</t>
  </si>
  <si>
    <t xml:space="preserve">Obs: los valores de este cuadro, estan convertidos valores rollizos con corteza, aplicando un coeficiente de ajuste a la teca de 2.23
</t>
  </si>
  <si>
    <t>Volumen Anual de Madera Aprovechada                                                   (Tierras Forestales)</t>
  </si>
  <si>
    <t>Volumen Rollizo (con corteza) Ajustado</t>
  </si>
  <si>
    <r>
      <t>m</t>
    </r>
    <r>
      <rPr>
        <b/>
        <vertAlign val="superscript"/>
        <sz val="11"/>
        <color theme="1"/>
        <rFont val="Calibri"/>
        <family val="2"/>
        <scheme val="minor"/>
      </rPr>
      <t>3</t>
    </r>
  </si>
  <si>
    <t>Volumen Aprovechado del Bosque Natural</t>
  </si>
  <si>
    <t>Volumen Anual de Madera Aprovechada                                                   (Áreas Agropecuarias)</t>
  </si>
  <si>
    <t>Tierras de Cultivos</t>
  </si>
  <si>
    <t>Pastizales</t>
  </si>
  <si>
    <t>Volumen Aprovechado en Tieras de Cultivos y Pastizales</t>
  </si>
  <si>
    <t>Incendios Anuales por Categoría de Tierras</t>
  </si>
  <si>
    <t>Hectáreas</t>
  </si>
  <si>
    <t xml:space="preserve">N° de Incendios </t>
  </si>
  <si>
    <t>Tierras Forestales</t>
  </si>
  <si>
    <t>Tierras de Cultivo</t>
  </si>
  <si>
    <t>Bosque Maduro</t>
  </si>
  <si>
    <t>Bosque Secundario</t>
  </si>
  <si>
    <t>Rastrojo</t>
  </si>
  <si>
    <t>Manglar</t>
  </si>
  <si>
    <t>Plantaciones de Coníferas</t>
  </si>
  <si>
    <t>Plantaciones de Latifoliadas</t>
  </si>
  <si>
    <t xml:space="preserve">Cultivos                  </t>
  </si>
  <si>
    <t>Caña de azúcar</t>
  </si>
  <si>
    <t>Pastos</t>
  </si>
  <si>
    <t>Incendios</t>
  </si>
  <si>
    <r>
      <t>Aclaración: Los incendios en tierras forestales</t>
    </r>
    <r>
      <rPr>
        <b/>
        <sz val="11"/>
        <color rgb="FF0000FF"/>
        <rFont val="Calibri"/>
        <family val="2"/>
        <scheme val="minor"/>
      </rPr>
      <t xml:space="preserve"> </t>
    </r>
    <r>
      <rPr>
        <sz val="11"/>
        <color theme="1"/>
        <rFont val="Calibri"/>
        <family val="2"/>
        <scheme val="minor"/>
      </rPr>
      <t>se refieren a la quema de bosques en pie, por lo que por lo general, lo que se quema es la hojarasca, la necromasa, el sotobosque y los árboles afectados por problemas fitosanitarios. No obstante, en pino, puede darse un incendio de copa, donde la afectación es muy significativa e incluso, puede afectar casi toda la biomasa.</t>
    </r>
  </si>
  <si>
    <t>Se aplica una desagregación de 70% a coníferas y 30% en latifoliadas (esto se consulta con DIVEDA)</t>
  </si>
  <si>
    <t>Para tierras de cultivo, se hace la separación de la caña de azúcar del resto de los cultivos, a fin de realizar el cálculo de las emisiones por separado.</t>
  </si>
  <si>
    <t>Las quemas en vegetación baja inundable se está clasificando como pasto y no como humedales</t>
  </si>
  <si>
    <t>Volumen Anual de Madera Aprovechada                                                   (Asentamientos)</t>
  </si>
  <si>
    <t xml:space="preserve">Metros Cúbicos </t>
  </si>
  <si>
    <t>Superficie Quemada</t>
  </si>
  <si>
    <t>El país no cuenta con esta información</t>
  </si>
  <si>
    <t>AÑO</t>
  </si>
  <si>
    <t>Peces</t>
  </si>
  <si>
    <t>Unidad</t>
  </si>
  <si>
    <t>Peces (Kg)</t>
  </si>
  <si>
    <t>Camarones</t>
  </si>
  <si>
    <t>Camarones (Kg)</t>
  </si>
  <si>
    <t>Total Kg</t>
  </si>
  <si>
    <t xml:space="preserve">Fuente </t>
  </si>
  <si>
    <t>libras</t>
  </si>
  <si>
    <t>Lb</t>
  </si>
  <si>
    <t>INEC</t>
  </si>
  <si>
    <t xml:space="preserve">Estimado </t>
  </si>
  <si>
    <t>Kg</t>
  </si>
  <si>
    <t>Dato de libras o kilogramos cosechados</t>
  </si>
  <si>
    <t xml:space="preserve">Comentario </t>
  </si>
  <si>
    <t xml:space="preserve">Los datos de PECES, Incluye la cantidad cocechada de cultivo de peces en jaulas y tinas circulares así como estanques y piletas de concreto en la república de panamá. Cuadro número 13 y cuadro número 14 del INEC. 
Los datos de CAMARONES son del cuadro 3. </t>
  </si>
  <si>
    <t xml:space="preserve">Fuente: </t>
  </si>
  <si>
    <t>https://www.inec.gob.pa/publicaciones/Default2.aspx?ID_CATEGORIA=4&amp;ID_SUBCATEGORIA=14</t>
  </si>
  <si>
    <t>año</t>
  </si>
  <si>
    <t>Musáceas</t>
  </si>
  <si>
    <t>FAOSTAT</t>
  </si>
  <si>
    <t>https://mida.gob.pa/wp-content/uploads/2021/08/2014-2015-CIERRE.pdf?csrt=1862935888133035112</t>
  </si>
  <si>
    <t>https://mida.gob.pa/wp-content/uploads/2021/08/2015-2016-CIERRE.pdf</t>
  </si>
  <si>
    <t>https://mida.gob.pa/wp-content/uploads/2021/08/2016-2017-CIERRE.pdf</t>
  </si>
  <si>
    <t>https://mida.gob.pa/wp-content/uploads/2020/05/Cierre-Agr%C3%ADcola-2017-2018-1.pdf?csrt=937283186709382676</t>
  </si>
  <si>
    <t>https://mida.gob.pa/wp-content/uploads/2020/05/Cierre-Agr%C3%ADcola-2018-2019-2.pdf?csrt=6419987190275554775</t>
  </si>
  <si>
    <t>https://mida.gob.pa/wp-content/uploads/2021/08/CierreAgricola2019-2020.pdf</t>
  </si>
  <si>
    <t>https://mida.gob.pa/wp-content/uploads/2021/10/CIERREAGRICOLA2020-2021-modificado.pdf</t>
  </si>
  <si>
    <t>https://mida.gob.pa/wp-content/uploads/2022/11/CIERRE-2021-2022-ultimo-23-11.pdf</t>
  </si>
  <si>
    <t xml:space="preserve">Notas: </t>
  </si>
  <si>
    <t xml:space="preserve">Estos datos provienen de FAO STAT. Se hizo consulta a expertos del MIDA. Se conoció que estos valores se encuentran en el rango normal </t>
  </si>
  <si>
    <t xml:space="preserve">Estos datos se usan para restarlos al total de cultivos perennes del país que provienen del Mapaton. Dado que las directrices indican que solamente debe contabilizarse el cambio en la biomasa de cultivos leñosos perennes. </t>
  </si>
  <si>
    <t>Datos para los años 2014 al 2021 provienen de las estadísticas del cierre agrícola del MIDA (Plátanos y bananos)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</si>
</sst>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000"/>
    <numFmt numFmtId="166" formatCode="_-* #,##0_-;\-* #,##0_-;_-* &quot;-&quot;??_-;_-@_-"/>
    <numFmt numFmtId="167" formatCode="_-* #,##0.0000_-;\-* #,##0.0000_-;_-* &quot;-&quot;????_-;_-@_-"/>
    <numFmt numFmtId="168" formatCode="#,##0.000"/>
    <numFmt numFmtId="169" formatCode="#,##0.0"/>
    <numFmt numFmtId="170" formatCode="#,##0.0000"/>
  </numFmts>
  <fonts count="33">
    <font>
      <sz val="11"/>
      <color theme="1"/>
      <name val="Calibri"/>
      <family val="2"/>
      <scheme val="minor"/>
    </font>
    <font>
      <sz val="8"/>
      <color theme="1"/>
      <name val="Calibri"/>
      <family val="2"/>
      <scheme val="minor"/>
    </font>
    <font>
      <b/>
      <sz val="11"/>
      <color theme="1"/>
      <name val="Calibri"/>
      <family val="2"/>
      <scheme val="minor"/>
    </font>
    <font>
      <sz val="8"/>
      <color rgb="FF0000FF"/>
      <name val="Calibri"/>
      <family val="2"/>
      <scheme val="minor"/>
    </font>
    <font>
      <b/>
      <sz val="8"/>
      <color theme="1"/>
      <name val="Calibri"/>
      <family val="2"/>
      <scheme val="minor"/>
    </font>
    <font>
      <sz val="8"/>
      <color rgb="FF000000"/>
      <name val="Calibri"/>
      <family val="2"/>
      <scheme val="minor"/>
    </font>
    <font>
      <sz val="9"/>
      <color theme="1"/>
      <name val="Calibri"/>
      <family val="2"/>
      <scheme val="minor"/>
    </font>
    <font>
      <vertAlign val="superscript"/>
      <sz val="9"/>
      <color theme="1"/>
      <name val="Calibri"/>
      <family val="2"/>
      <scheme val="minor"/>
    </font>
    <font>
      <sz val="9"/>
      <color rgb="FF000000"/>
      <name val="Calibri"/>
      <family val="2"/>
      <scheme val="minor"/>
    </font>
    <font>
      <sz val="11"/>
      <color theme="1"/>
      <name val="Arial Black"/>
      <family val="2"/>
    </font>
    <font>
      <b/>
      <sz val="9"/>
      <color theme="1"/>
      <name val="Calibri"/>
      <family val="2"/>
      <scheme val="minor"/>
    </font>
    <font>
      <u/>
      <sz val="11"/>
      <color theme="10"/>
      <name val="Calibri"/>
      <family val="2"/>
      <scheme val="minor"/>
    </font>
    <font>
      <sz val="9"/>
      <color rgb="FFFF0000"/>
      <name val="Calibri"/>
      <family val="2"/>
      <scheme val="minor"/>
    </font>
    <font>
      <b/>
      <sz val="8"/>
      <color rgb="FF000000"/>
      <name val="Calibri"/>
      <family val="2"/>
      <scheme val="minor"/>
    </font>
    <font>
      <b/>
      <sz val="11"/>
      <color rgb="FF0000FF"/>
      <name val="Calibri"/>
      <family val="2"/>
      <scheme val="minor"/>
    </font>
    <font>
      <sz val="11"/>
      <color rgb="FF0000FF"/>
      <name val="Calibri"/>
      <family val="2"/>
      <scheme val="minor"/>
    </font>
    <font>
      <b/>
      <sz val="9"/>
      <color rgb="FF0000FF"/>
      <name val="Calibri"/>
      <family val="2"/>
      <scheme val="minor"/>
    </font>
    <font>
      <b/>
      <sz val="10"/>
      <color rgb="FF0000FF"/>
      <name val="Calibri"/>
      <family val="2"/>
      <scheme val="minor"/>
    </font>
    <font>
      <i/>
      <sz val="9"/>
      <color rgb="FF000000"/>
      <name val="Calibri"/>
      <family val="2"/>
      <scheme val="minor"/>
    </font>
    <font>
      <i/>
      <sz val="9"/>
      <color theme="1"/>
      <name val="Calibri"/>
      <family val="2"/>
      <scheme val="minor"/>
    </font>
    <font>
      <b/>
      <sz val="12"/>
      <color rgb="FF0000FF"/>
      <name val="Calibri"/>
      <family val="2"/>
      <scheme val="minor"/>
    </font>
    <font>
      <sz val="9"/>
      <name val="Calibri"/>
      <family val="2"/>
      <scheme val="minor"/>
    </font>
    <font>
      <b/>
      <sz val="16"/>
      <color theme="1"/>
      <name val="Calibri"/>
      <family val="2"/>
      <scheme val="minor"/>
    </font>
    <font>
      <b/>
      <vertAlign val="superscript"/>
      <sz val="11"/>
      <color theme="1"/>
      <name val="Calibri"/>
      <family val="2"/>
      <scheme val="minor"/>
    </font>
    <font>
      <vertAlign val="superscript"/>
      <sz val="11"/>
      <color theme="1"/>
      <name val="Calibri"/>
      <family val="2"/>
      <scheme val="minor"/>
    </font>
    <font>
      <b/>
      <vertAlign val="superscript"/>
      <sz val="9"/>
      <color theme="1"/>
      <name val="Calibri"/>
      <family val="2"/>
      <scheme val="minor"/>
    </font>
    <font>
      <b/>
      <sz val="14"/>
      <color theme="1"/>
      <name val="Calibri"/>
      <family val="2"/>
      <scheme val="minor"/>
    </font>
    <font>
      <b/>
      <sz val="11"/>
      <color rgb="FF0000FF"/>
      <name val="Arial Black"/>
      <family val="2"/>
    </font>
    <font>
      <b/>
      <sz val="12"/>
      <color theme="1"/>
      <name val="Calibri"/>
      <family val="2"/>
      <scheme val="minor"/>
    </font>
    <font>
      <sz val="10"/>
      <name val="Arial"/>
      <family val="2"/>
    </font>
    <font>
      <sz val="11"/>
      <color theme="1"/>
      <name val="Calibri"/>
      <family val="2"/>
      <scheme val="minor"/>
    </font>
    <font>
      <sz val="14"/>
      <color theme="1"/>
      <name val="Calibri"/>
      <scheme val="minor"/>
    </font>
    <font>
      <sz val="14"/>
      <color theme="1"/>
      <name val="Calibri"/>
      <family val="2"/>
      <scheme val="minor"/>
    </font>
  </fonts>
  <fills count="8">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rgb="FF000000"/>
      </right>
      <top style="thin">
        <color rgb="FF000000"/>
      </top>
      <bottom style="thin">
        <color rgb="FF000000"/>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right style="medium">
        <color rgb="FF000000"/>
      </right>
      <top style="medium">
        <color rgb="FF000000"/>
      </top>
      <bottom/>
      <diagonal/>
    </border>
    <border>
      <left style="medium">
        <color rgb="FF000000"/>
      </left>
      <right style="medium">
        <color indexed="64"/>
      </right>
      <top/>
      <bottom/>
      <diagonal/>
    </border>
    <border>
      <left/>
      <right style="medium">
        <color rgb="FF000000"/>
      </right>
      <top style="medium">
        <color indexed="64"/>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5">
    <xf numFmtId="0" fontId="0" fillId="0" borderId="0"/>
    <xf numFmtId="0" fontId="11" fillId="0" borderId="0" applyNumberFormat="0" applyFill="0" applyBorder="0" applyAlignment="0" applyProtection="0"/>
    <xf numFmtId="0" fontId="29" fillId="0" borderId="0"/>
    <xf numFmtId="0" fontId="11" fillId="0" borderId="0" applyNumberFormat="0" applyFill="0" applyBorder="0" applyAlignment="0" applyProtection="0"/>
    <xf numFmtId="43" fontId="30" fillId="0" borderId="0" applyFont="0" applyFill="0" applyBorder="0" applyAlignment="0" applyProtection="0"/>
  </cellStyleXfs>
  <cellXfs count="403">
    <xf numFmtId="0" fontId="0" fillId="0" borderId="0" xfId="0"/>
    <xf numFmtId="0" fontId="0" fillId="0" borderId="0" xfId="0" applyAlignment="1">
      <alignment horizontal="center"/>
    </xf>
    <xf numFmtId="0" fontId="1" fillId="0" borderId="0" xfId="0" applyFont="1"/>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vertical="center"/>
    </xf>
    <xf numFmtId="2" fontId="5" fillId="0" borderId="1" xfId="0" applyNumberFormat="1" applyFont="1" applyBorder="1" applyAlignment="1">
      <alignment horizontal="center" vertical="center"/>
    </xf>
    <xf numFmtId="2" fontId="5" fillId="3" borderId="1"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3" fillId="0" borderId="0" xfId="0" applyFont="1"/>
    <xf numFmtId="0" fontId="0" fillId="0" borderId="3" xfId="0" applyBorder="1" applyAlignment="1">
      <alignment vertical="center" wrapText="1"/>
    </xf>
    <xf numFmtId="0" fontId="4" fillId="4" borderId="1" xfId="0" applyFont="1" applyFill="1" applyBorder="1" applyAlignment="1">
      <alignment horizontal="center" vertical="center" wrapText="1"/>
    </xf>
    <xf numFmtId="0" fontId="6" fillId="0" borderId="0" xfId="0" applyFont="1" applyAlignment="1">
      <alignment horizontal="right" vertical="center" wrapText="1"/>
    </xf>
    <xf numFmtId="0" fontId="9" fillId="0" borderId="0" xfId="0" applyFont="1" applyAlignment="1">
      <alignment vertical="center"/>
    </xf>
    <xf numFmtId="0" fontId="9" fillId="0" borderId="0" xfId="0" applyFont="1" applyAlignment="1">
      <alignment horizontal="left" vertical="center"/>
    </xf>
    <xf numFmtId="0" fontId="6" fillId="0" borderId="0" xfId="0" applyFont="1" applyAlignment="1">
      <alignment horizontal="center"/>
    </xf>
    <xf numFmtId="0" fontId="11" fillId="0" borderId="0" xfId="1"/>
    <xf numFmtId="0" fontId="8" fillId="0" borderId="0" xfId="0" applyFont="1" applyAlignment="1">
      <alignment horizontal="left" vertical="center" wrapText="1"/>
    </xf>
    <xf numFmtId="0" fontId="0" fillId="0" borderId="0" xfId="0" applyAlignment="1">
      <alignment horizontal="left" wrapText="1"/>
    </xf>
    <xf numFmtId="0" fontId="2" fillId="0" borderId="0" xfId="0" applyFont="1" applyAlignment="1">
      <alignment horizontal="center" wrapText="1"/>
    </xf>
    <xf numFmtId="0" fontId="2" fillId="0" borderId="0" xfId="0" applyFont="1" applyAlignment="1">
      <alignment horizontal="center" vertical="center"/>
    </xf>
    <xf numFmtId="0" fontId="0" fillId="0" borderId="0" xfId="0" applyAlignment="1">
      <alignment horizontal="center" wrapText="1"/>
    </xf>
    <xf numFmtId="0" fontId="0" fillId="0" borderId="0" xfId="0" applyAlignment="1">
      <alignment wrapText="1"/>
    </xf>
    <xf numFmtId="0" fontId="14" fillId="0" borderId="0" xfId="0" applyFont="1"/>
    <xf numFmtId="0" fontId="15" fillId="0" borderId="0" xfId="0" applyFont="1"/>
    <xf numFmtId="0" fontId="0" fillId="0" borderId="10" xfId="0" applyBorder="1"/>
    <xf numFmtId="3" fontId="6" fillId="0" borderId="29" xfId="0" applyNumberFormat="1" applyFont="1" applyBorder="1" applyAlignment="1">
      <alignment horizontal="right"/>
    </xf>
    <xf numFmtId="0" fontId="14" fillId="0" borderId="0" xfId="0" applyFont="1" applyAlignment="1">
      <alignment vertical="center"/>
    </xf>
    <xf numFmtId="3" fontId="14" fillId="0" borderId="0" xfId="0" applyNumberFormat="1" applyFont="1" applyAlignment="1">
      <alignment horizontal="left"/>
    </xf>
    <xf numFmtId="0" fontId="17" fillId="0" borderId="0" xfId="0" applyFont="1"/>
    <xf numFmtId="0" fontId="16" fillId="0" borderId="0" xfId="0" applyFont="1" applyAlignment="1">
      <alignment horizontal="center" vertical="center"/>
    </xf>
    <xf numFmtId="0" fontId="16" fillId="0" borderId="0" xfId="0" applyFont="1"/>
    <xf numFmtId="165" fontId="16" fillId="0" borderId="0" xfId="0" applyNumberFormat="1" applyFont="1" applyAlignment="1">
      <alignment horizontal="left"/>
    </xf>
    <xf numFmtId="0" fontId="16" fillId="0" borderId="0" xfId="0" applyFont="1" applyAlignment="1">
      <alignment vertical="center"/>
    </xf>
    <xf numFmtId="0" fontId="6" fillId="0" borderId="8" xfId="0" applyFont="1" applyBorder="1" applyAlignment="1">
      <alignment horizontal="center"/>
    </xf>
    <xf numFmtId="0" fontId="6" fillId="0" borderId="0" xfId="0" applyFont="1" applyAlignment="1">
      <alignment horizontal="left" vertical="center"/>
    </xf>
    <xf numFmtId="0" fontId="10" fillId="0" borderId="27" xfId="0" applyFont="1" applyBorder="1" applyAlignment="1">
      <alignment horizontal="center" vertical="center"/>
    </xf>
    <xf numFmtId="2" fontId="8" fillId="0" borderId="28" xfId="0" applyNumberFormat="1" applyFont="1" applyBorder="1" applyAlignment="1">
      <alignment horizontal="center" vertical="center" wrapText="1"/>
    </xf>
    <xf numFmtId="2" fontId="8" fillId="0" borderId="29" xfId="0" applyNumberFormat="1" applyFont="1" applyBorder="1" applyAlignment="1">
      <alignment horizontal="center" vertical="center" wrapText="1"/>
    </xf>
    <xf numFmtId="2" fontId="6" fillId="0" borderId="29" xfId="0" applyNumberFormat="1" applyFont="1" applyBorder="1" applyAlignment="1">
      <alignment horizontal="center"/>
    </xf>
    <xf numFmtId="2" fontId="6" fillId="0" borderId="29" xfId="0" applyNumberFormat="1" applyFont="1" applyBorder="1" applyAlignment="1">
      <alignment horizontal="center" vertical="center" wrapText="1"/>
    </xf>
    <xf numFmtId="0" fontId="10" fillId="0" borderId="25" xfId="0" applyFont="1" applyBorder="1" applyAlignment="1">
      <alignment horizontal="left" vertical="center"/>
    </xf>
    <xf numFmtId="0" fontId="18" fillId="0" borderId="52" xfId="0" applyFont="1" applyBorder="1" applyAlignment="1">
      <alignment horizontal="left" vertical="center" wrapText="1"/>
    </xf>
    <xf numFmtId="0" fontId="18" fillId="0" borderId="9" xfId="0" applyFont="1" applyBorder="1" applyAlignment="1">
      <alignment horizontal="left" vertical="center" wrapText="1"/>
    </xf>
    <xf numFmtId="0" fontId="19" fillId="0" borderId="9" xfId="0" applyFont="1" applyBorder="1" applyAlignment="1">
      <alignment horizontal="left"/>
    </xf>
    <xf numFmtId="0" fontId="19" fillId="0" borderId="9" xfId="0" applyFont="1" applyBorder="1" applyAlignment="1">
      <alignment horizontal="left" vertical="center" wrapText="1"/>
    </xf>
    <xf numFmtId="0" fontId="18" fillId="0" borderId="53" xfId="0" applyFont="1" applyBorder="1" applyAlignment="1">
      <alignment horizontal="left" vertical="center" wrapText="1"/>
    </xf>
    <xf numFmtId="2" fontId="8" fillId="0" borderId="30" xfId="0" applyNumberFormat="1" applyFont="1" applyBorder="1" applyAlignment="1">
      <alignment horizontal="center" vertical="center" wrapText="1"/>
    </xf>
    <xf numFmtId="0" fontId="10" fillId="0" borderId="25" xfId="0" applyFont="1" applyBorder="1" applyAlignment="1">
      <alignment horizontal="center"/>
    </xf>
    <xf numFmtId="165" fontId="10" fillId="0" borderId="27" xfId="0" applyNumberFormat="1" applyFont="1" applyBorder="1" applyAlignment="1">
      <alignment horizontal="center" vertical="center"/>
    </xf>
    <xf numFmtId="0" fontId="10" fillId="0" borderId="39" xfId="0" applyFont="1" applyBorder="1" applyAlignment="1">
      <alignment horizontal="left" vertical="center"/>
    </xf>
    <xf numFmtId="0" fontId="8" fillId="0" borderId="6" xfId="0" applyFont="1" applyBorder="1" applyAlignment="1">
      <alignment horizontal="left" vertical="center" wrapText="1"/>
    </xf>
    <xf numFmtId="0" fontId="8" fillId="0" borderId="22" xfId="0" applyFont="1" applyBorder="1" applyAlignment="1">
      <alignment horizontal="left" vertical="center" wrapText="1"/>
    </xf>
    <xf numFmtId="0" fontId="6" fillId="0" borderId="22" xfId="0" applyFont="1" applyBorder="1" applyAlignment="1">
      <alignment horizontal="left"/>
    </xf>
    <xf numFmtId="0" fontId="6" fillId="0" borderId="22" xfId="0" applyFont="1" applyBorder="1" applyAlignment="1">
      <alignment horizontal="left" vertical="center" wrapText="1"/>
    </xf>
    <xf numFmtId="0" fontId="8" fillId="0" borderId="21" xfId="0" applyFont="1" applyBorder="1" applyAlignment="1">
      <alignment horizontal="left" vertical="center" wrapText="1"/>
    </xf>
    <xf numFmtId="0" fontId="8" fillId="0" borderId="0" xfId="0" applyFont="1" applyAlignment="1">
      <alignment horizontal="left" vertical="center"/>
    </xf>
    <xf numFmtId="0" fontId="0" fillId="0" borderId="0" xfId="0" applyAlignment="1">
      <alignment vertical="center"/>
    </xf>
    <xf numFmtId="0" fontId="6" fillId="0" borderId="0" xfId="0" applyFont="1"/>
    <xf numFmtId="0" fontId="20" fillId="0" borderId="0" xfId="0" applyFont="1" applyAlignment="1">
      <alignment wrapText="1"/>
    </xf>
    <xf numFmtId="0" fontId="6" fillId="0" borderId="9" xfId="0" applyFont="1" applyBorder="1" applyAlignment="1">
      <alignment horizontal="center"/>
    </xf>
    <xf numFmtId="0" fontId="6" fillId="0" borderId="10" xfId="0" applyFont="1" applyBorder="1" applyAlignment="1">
      <alignment horizontal="center"/>
    </xf>
    <xf numFmtId="0" fontId="0" fillId="0" borderId="39" xfId="0" applyBorder="1" applyAlignment="1">
      <alignment horizontal="left" wrapText="1"/>
    </xf>
    <xf numFmtId="0" fontId="0" fillId="0" borderId="31" xfId="0" applyBorder="1" applyAlignment="1">
      <alignment horizontal="right"/>
    </xf>
    <xf numFmtId="0" fontId="0" fillId="0" borderId="9" xfId="0" applyBorder="1"/>
    <xf numFmtId="0" fontId="0" fillId="0" borderId="8" xfId="0" applyBorder="1"/>
    <xf numFmtId="0" fontId="2" fillId="0" borderId="0" xfId="0" applyFont="1" applyAlignment="1">
      <alignment horizontal="left" vertical="center" wrapText="1"/>
    </xf>
    <xf numFmtId="0" fontId="0" fillId="0" borderId="0" xfId="0" applyAlignment="1">
      <alignment horizontal="right"/>
    </xf>
    <xf numFmtId="3" fontId="0" fillId="0" borderId="0" xfId="0" applyNumberFormat="1"/>
    <xf numFmtId="1" fontId="0" fillId="0" borderId="0" xfId="0" applyNumberFormat="1"/>
    <xf numFmtId="3" fontId="0" fillId="0" borderId="22" xfId="0" applyNumberFormat="1" applyBorder="1" applyAlignment="1">
      <alignment horizontal="right" wrapText="1"/>
    </xf>
    <xf numFmtId="3" fontId="0" fillId="0" borderId="8" xfId="0" applyNumberFormat="1" applyBorder="1" applyAlignment="1">
      <alignment horizontal="right" wrapText="1"/>
    </xf>
    <xf numFmtId="3" fontId="0" fillId="0" borderId="9" xfId="0" applyNumberFormat="1" applyBorder="1" applyAlignment="1">
      <alignment horizontal="right" wrapText="1"/>
    </xf>
    <xf numFmtId="3" fontId="0" fillId="0" borderId="10" xfId="0" applyNumberFormat="1" applyBorder="1" applyAlignment="1">
      <alignment horizontal="right" wrapText="1"/>
    </xf>
    <xf numFmtId="3" fontId="0" fillId="0" borderId="6" xfId="0" applyNumberFormat="1" applyBorder="1" applyAlignment="1">
      <alignment horizontal="right" wrapText="1"/>
    </xf>
    <xf numFmtId="0" fontId="6" fillId="0" borderId="20" xfId="0" applyFont="1" applyBorder="1" applyAlignment="1">
      <alignment horizontal="center" vertical="center"/>
    </xf>
    <xf numFmtId="0" fontId="6" fillId="0" borderId="32" xfId="0" applyFont="1" applyBorder="1" applyAlignment="1">
      <alignment horizontal="center" vertical="center"/>
    </xf>
    <xf numFmtId="0" fontId="6" fillId="0" borderId="24" xfId="0" applyFont="1" applyBorder="1" applyAlignment="1">
      <alignment horizontal="center" vertical="center"/>
    </xf>
    <xf numFmtId="3" fontId="6" fillId="0" borderId="1" xfId="0" applyNumberFormat="1" applyFont="1" applyBorder="1" applyAlignment="1">
      <alignment horizontal="right" vertical="center"/>
    </xf>
    <xf numFmtId="3" fontId="8" fillId="0" borderId="1" xfId="0" applyNumberFormat="1" applyFont="1" applyBorder="1" applyAlignment="1">
      <alignment horizontal="right" vertical="center"/>
    </xf>
    <xf numFmtId="3" fontId="6" fillId="0" borderId="42" xfId="0" applyNumberFormat="1" applyFont="1" applyBorder="1" applyAlignment="1">
      <alignment horizontal="right" vertical="center"/>
    </xf>
    <xf numFmtId="0" fontId="6" fillId="0" borderId="59" xfId="0" applyFont="1" applyBorder="1" applyAlignment="1">
      <alignment horizontal="center"/>
    </xf>
    <xf numFmtId="0" fontId="6" fillId="0" borderId="60" xfId="0" applyFont="1" applyBorder="1" applyAlignment="1">
      <alignment horizontal="center"/>
    </xf>
    <xf numFmtId="0" fontId="6" fillId="0" borderId="61" xfId="0" applyFont="1" applyBorder="1" applyAlignment="1">
      <alignment horizontal="center"/>
    </xf>
    <xf numFmtId="165" fontId="10" fillId="0" borderId="60" xfId="0" applyNumberFormat="1" applyFont="1" applyBorder="1" applyAlignment="1">
      <alignment horizontal="center"/>
    </xf>
    <xf numFmtId="0" fontId="13" fillId="0" borderId="46" xfId="0" applyFont="1" applyBorder="1" applyAlignment="1">
      <alignment horizontal="center" vertical="center"/>
    </xf>
    <xf numFmtId="0" fontId="4" fillId="0" borderId="48" xfId="0" applyFont="1" applyBorder="1" applyAlignment="1">
      <alignment horizontal="center"/>
    </xf>
    <xf numFmtId="0" fontId="1" fillId="0" borderId="59" xfId="0" applyFont="1" applyBorder="1" applyAlignment="1">
      <alignment horizontal="center"/>
    </xf>
    <xf numFmtId="0" fontId="0" fillId="0" borderId="1" xfId="0" applyBorder="1" applyAlignment="1">
      <alignment horizontal="right" vertical="center" wrapText="1"/>
    </xf>
    <xf numFmtId="0" fontId="0" fillId="0" borderId="51" xfId="0" applyBorder="1" applyAlignment="1">
      <alignment horizontal="right" vertical="center" wrapText="1"/>
    </xf>
    <xf numFmtId="3" fontId="0" fillId="0" borderId="37" xfId="0" applyNumberFormat="1" applyBorder="1" applyAlignment="1">
      <alignment horizontal="right" wrapText="1"/>
    </xf>
    <xf numFmtId="0" fontId="0" fillId="0" borderId="49" xfId="0" applyBorder="1" applyAlignment="1">
      <alignment horizontal="right" vertical="center" wrapText="1"/>
    </xf>
    <xf numFmtId="0" fontId="0" fillId="0" borderId="2" xfId="0" applyBorder="1" applyAlignment="1">
      <alignment horizontal="right" vertical="center" wrapText="1"/>
    </xf>
    <xf numFmtId="3" fontId="0" fillId="0" borderId="50" xfId="0" applyNumberFormat="1" applyBorder="1" applyAlignment="1">
      <alignment horizontal="right" wrapText="1"/>
    </xf>
    <xf numFmtId="0" fontId="2" fillId="5" borderId="46" xfId="0" applyFont="1" applyFill="1" applyBorder="1" applyAlignment="1">
      <alignment horizontal="center" vertical="center" wrapText="1"/>
    </xf>
    <xf numFmtId="0" fontId="2" fillId="5" borderId="47" xfId="0" applyFont="1" applyFill="1" applyBorder="1" applyAlignment="1">
      <alignment horizontal="center" vertical="center" wrapText="1"/>
    </xf>
    <xf numFmtId="3" fontId="2" fillId="5" borderId="48" xfId="0" applyNumberFormat="1" applyFont="1" applyFill="1" applyBorder="1" applyAlignment="1">
      <alignment horizontal="center" vertical="center" wrapText="1"/>
    </xf>
    <xf numFmtId="3" fontId="2" fillId="5" borderId="27" xfId="0" applyNumberFormat="1" applyFont="1" applyFill="1" applyBorder="1" applyAlignment="1">
      <alignment horizontal="center" vertical="center" wrapText="1"/>
    </xf>
    <xf numFmtId="3" fontId="2" fillId="5" borderId="25" xfId="0" applyNumberFormat="1" applyFont="1" applyFill="1" applyBorder="1" applyAlignment="1">
      <alignment horizontal="center" vertical="center" wrapText="1"/>
    </xf>
    <xf numFmtId="0" fontId="6" fillId="0" borderId="62" xfId="0" applyFont="1" applyBorder="1" applyAlignment="1">
      <alignment horizontal="center" vertical="center"/>
    </xf>
    <xf numFmtId="3" fontId="6" fillId="0" borderId="63" xfId="0" applyNumberFormat="1" applyFont="1" applyBorder="1" applyAlignment="1">
      <alignment horizontal="right" vertical="center"/>
    </xf>
    <xf numFmtId="0" fontId="6" fillId="0" borderId="53" xfId="0" applyFont="1" applyBorder="1" applyAlignment="1">
      <alignment horizontal="center"/>
    </xf>
    <xf numFmtId="3" fontId="6" fillId="0" borderId="30" xfId="0" applyNumberFormat="1" applyFont="1" applyBorder="1" applyAlignment="1">
      <alignment horizontal="right"/>
    </xf>
    <xf numFmtId="0" fontId="2" fillId="5" borderId="15" xfId="0" applyFont="1" applyFill="1" applyBorder="1" applyAlignment="1">
      <alignment horizontal="center" vertical="center" wrapText="1"/>
    </xf>
    <xf numFmtId="0" fontId="6" fillId="0" borderId="36" xfId="0" applyFont="1" applyBorder="1" applyAlignment="1">
      <alignment horizontal="right" wrapText="1"/>
    </xf>
    <xf numFmtId="0" fontId="6" fillId="0" borderId="12" xfId="0" applyFont="1" applyBorder="1" applyAlignment="1">
      <alignment horizontal="right" wrapText="1"/>
    </xf>
    <xf numFmtId="0" fontId="6" fillId="0" borderId="29" xfId="0" applyFont="1" applyBorder="1" applyAlignment="1">
      <alignment horizontal="right" wrapText="1"/>
    </xf>
    <xf numFmtId="0" fontId="6" fillId="0" borderId="22" xfId="0" applyFont="1" applyBorder="1" applyAlignment="1">
      <alignment horizontal="right" wrapText="1"/>
    </xf>
    <xf numFmtId="3" fontId="6" fillId="0" borderId="22" xfId="0" applyNumberFormat="1" applyFont="1" applyBorder="1" applyAlignment="1">
      <alignment horizontal="right"/>
    </xf>
    <xf numFmtId="3" fontId="6" fillId="0" borderId="22" xfId="0" applyNumberFormat="1" applyFont="1" applyBorder="1" applyAlignment="1">
      <alignment horizontal="right" vertical="center"/>
    </xf>
    <xf numFmtId="3" fontId="6" fillId="0" borderId="21" xfId="0" applyNumberFormat="1" applyFont="1" applyBorder="1" applyAlignment="1">
      <alignment horizontal="right"/>
    </xf>
    <xf numFmtId="0" fontId="0" fillId="0" borderId="45" xfId="0" applyBorder="1" applyAlignment="1">
      <alignment horizontal="right"/>
    </xf>
    <xf numFmtId="0" fontId="2" fillId="5" borderId="34" xfId="0" applyFont="1" applyFill="1" applyBorder="1" applyAlignment="1">
      <alignment horizontal="center" vertical="center" wrapText="1"/>
    </xf>
    <xf numFmtId="0" fontId="2" fillId="5" borderId="14" xfId="0" applyFont="1" applyFill="1" applyBorder="1" applyAlignment="1">
      <alignment horizontal="center" vertical="center"/>
    </xf>
    <xf numFmtId="0" fontId="26" fillId="0" borderId="0" xfId="0" applyFont="1"/>
    <xf numFmtId="0" fontId="0" fillId="0" borderId="8" xfId="0" applyBorder="1" applyAlignment="1">
      <alignment wrapText="1"/>
    </xf>
    <xf numFmtId="0" fontId="0" fillId="0" borderId="9" xfId="0" applyBorder="1" applyAlignment="1">
      <alignment wrapText="1"/>
    </xf>
    <xf numFmtId="0" fontId="11" fillId="0" borderId="9" xfId="1" applyBorder="1"/>
    <xf numFmtId="0" fontId="11" fillId="0" borderId="9" xfId="1" applyBorder="1" applyAlignment="1">
      <alignment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5" borderId="14" xfId="0" applyFont="1" applyFill="1" applyBorder="1" applyAlignment="1">
      <alignment horizontal="center" vertical="center" wrapText="1"/>
    </xf>
    <xf numFmtId="0" fontId="0" fillId="0" borderId="43" xfId="0" applyBorder="1"/>
    <xf numFmtId="0" fontId="0" fillId="0" borderId="38" xfId="0" applyBorder="1"/>
    <xf numFmtId="0" fontId="27" fillId="0" borderId="0" xfId="0" applyFont="1"/>
    <xf numFmtId="0" fontId="2" fillId="0" borderId="0" xfId="0" applyFont="1"/>
    <xf numFmtId="15" fontId="0" fillId="0" borderId="9" xfId="0" applyNumberFormat="1" applyBorder="1" applyAlignment="1">
      <alignment horizontal="left"/>
    </xf>
    <xf numFmtId="0" fontId="2" fillId="0" borderId="25" xfId="0" applyFont="1" applyBorder="1" applyAlignment="1">
      <alignment horizontal="center" wrapText="1"/>
    </xf>
    <xf numFmtId="0" fontId="2" fillId="0" borderId="46" xfId="0" applyFont="1" applyBorder="1" applyAlignment="1">
      <alignment horizontal="center"/>
    </xf>
    <xf numFmtId="0" fontId="2" fillId="0" borderId="46" xfId="0" applyFont="1" applyBorder="1" applyAlignment="1">
      <alignment horizontal="center" wrapText="1"/>
    </xf>
    <xf numFmtId="0" fontId="2" fillId="0" borderId="25" xfId="0" applyFont="1" applyBorder="1" applyAlignment="1">
      <alignment horizontal="center" vertical="center"/>
    </xf>
    <xf numFmtId="0" fontId="2" fillId="0" borderId="0" xfId="0" applyFont="1" applyAlignment="1">
      <alignment horizontal="center"/>
    </xf>
    <xf numFmtId="0" fontId="2" fillId="0" borderId="9" xfId="0" applyFont="1" applyBorder="1" applyAlignment="1">
      <alignment horizontal="left"/>
    </xf>
    <xf numFmtId="0" fontId="2" fillId="5" borderId="25" xfId="0" applyFont="1" applyFill="1" applyBorder="1" applyAlignment="1">
      <alignment horizontal="center" vertical="center" wrapText="1"/>
    </xf>
    <xf numFmtId="0" fontId="22" fillId="0" borderId="0" xfId="0" applyFont="1" applyAlignment="1">
      <alignment wrapText="1"/>
    </xf>
    <xf numFmtId="0" fontId="6" fillId="0" borderId="20" xfId="0" applyFont="1" applyBorder="1" applyAlignment="1">
      <alignment horizontal="center"/>
    </xf>
    <xf numFmtId="0" fontId="6" fillId="0" borderId="65" xfId="0" applyFont="1" applyBorder="1" applyAlignment="1">
      <alignment horizontal="center"/>
    </xf>
    <xf numFmtId="0" fontId="6" fillId="0" borderId="32" xfId="0" applyFont="1" applyBorder="1" applyAlignment="1">
      <alignment horizontal="center"/>
    </xf>
    <xf numFmtId="0" fontId="6" fillId="0" borderId="62" xfId="0" applyFont="1" applyBorder="1" applyAlignment="1">
      <alignment horizontal="center"/>
    </xf>
    <xf numFmtId="0" fontId="6" fillId="0" borderId="24" xfId="0" applyFont="1" applyBorder="1" applyAlignment="1">
      <alignment horizontal="center"/>
    </xf>
    <xf numFmtId="0" fontId="0" fillId="0" borderId="37" xfId="0" applyBorder="1"/>
    <xf numFmtId="0" fontId="0" fillId="0" borderId="13" xfId="0" applyBorder="1"/>
    <xf numFmtId="0" fontId="0" fillId="0" borderId="19" xfId="0" applyBorder="1"/>
    <xf numFmtId="0" fontId="0" fillId="0" borderId="10" xfId="0" applyBorder="1" applyAlignment="1">
      <alignment wrapText="1"/>
    </xf>
    <xf numFmtId="0" fontId="2" fillId="0" borderId="10" xfId="0" applyFont="1" applyBorder="1" applyAlignment="1">
      <alignment horizontal="left" vertical="center"/>
    </xf>
    <xf numFmtId="9" fontId="2" fillId="5" borderId="16" xfId="0" applyNumberFormat="1" applyFont="1" applyFill="1" applyBorder="1" applyAlignment="1">
      <alignment horizontal="center" vertical="center" wrapText="1"/>
    </xf>
    <xf numFmtId="3" fontId="8" fillId="0" borderId="5" xfId="0" applyNumberFormat="1" applyFont="1" applyBorder="1" applyAlignment="1">
      <alignment horizontal="center" vertical="center"/>
    </xf>
    <xf numFmtId="3" fontId="8" fillId="0" borderId="7" xfId="0" applyNumberFormat="1" applyFont="1" applyBorder="1" applyAlignment="1">
      <alignment horizontal="center" vertical="center"/>
    </xf>
    <xf numFmtId="9" fontId="2" fillId="5" borderId="25" xfId="0" applyNumberFormat="1" applyFont="1" applyFill="1" applyBorder="1" applyAlignment="1">
      <alignment horizontal="center" vertical="center" wrapText="1"/>
    </xf>
    <xf numFmtId="3" fontId="8" fillId="0" borderId="66" xfId="0" applyNumberFormat="1" applyFont="1" applyBorder="1" applyAlignment="1">
      <alignment horizontal="center" vertical="center"/>
    </xf>
    <xf numFmtId="3" fontId="8" fillId="0" borderId="1" xfId="0" applyNumberFormat="1"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8" fillId="0" borderId="7" xfId="0" applyFont="1" applyBorder="1" applyAlignment="1">
      <alignment horizontal="center" vertical="center"/>
    </xf>
    <xf numFmtId="0" fontId="6" fillId="0" borderId="7" xfId="0" applyFont="1" applyBorder="1" applyAlignment="1">
      <alignment horizontal="center" vertical="center"/>
    </xf>
    <xf numFmtId="3" fontId="6" fillId="0" borderId="5" xfId="0" applyNumberFormat="1" applyFont="1" applyBorder="1" applyAlignment="1">
      <alignment horizontal="center" vertical="center"/>
    </xf>
    <xf numFmtId="3" fontId="6" fillId="0" borderId="2" xfId="0" applyNumberFormat="1" applyFont="1" applyBorder="1" applyAlignment="1">
      <alignment horizontal="center" vertical="center"/>
    </xf>
    <xf numFmtId="3" fontId="6" fillId="0" borderId="2" xfId="0" applyNumberFormat="1" applyFont="1" applyBorder="1" applyAlignment="1">
      <alignment horizontal="center"/>
    </xf>
    <xf numFmtId="3" fontId="6" fillId="0" borderId="7"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1" xfId="0" applyNumberFormat="1" applyFont="1" applyBorder="1" applyAlignment="1">
      <alignment horizontal="center"/>
    </xf>
    <xf numFmtId="1" fontId="21" fillId="0" borderId="7" xfId="0" applyNumberFormat="1" applyFont="1" applyBorder="1" applyAlignment="1">
      <alignment horizontal="center" vertical="center"/>
    </xf>
    <xf numFmtId="1" fontId="12" fillId="0" borderId="7" xfId="0" applyNumberFormat="1" applyFont="1" applyBorder="1" applyAlignment="1">
      <alignment horizontal="center" vertical="center"/>
    </xf>
    <xf numFmtId="3" fontId="21" fillId="0" borderId="1" xfId="0" applyNumberFormat="1" applyFont="1" applyBorder="1" applyAlignment="1">
      <alignment horizontal="center" vertical="center"/>
    </xf>
    <xf numFmtId="3" fontId="21" fillId="0" borderId="7" xfId="0" applyNumberFormat="1" applyFont="1" applyBorder="1" applyAlignment="1">
      <alignment horizontal="center" vertical="center"/>
    </xf>
    <xf numFmtId="3" fontId="21" fillId="0" borderId="1" xfId="0" applyNumberFormat="1" applyFont="1" applyBorder="1" applyAlignment="1">
      <alignment horizontal="center"/>
    </xf>
    <xf numFmtId="3" fontId="12" fillId="0" borderId="7" xfId="0" applyNumberFormat="1" applyFont="1" applyBorder="1" applyAlignment="1">
      <alignment horizontal="center" vertical="center"/>
    </xf>
    <xf numFmtId="0" fontId="2" fillId="6" borderId="25" xfId="0" applyFont="1" applyFill="1" applyBorder="1" applyAlignment="1">
      <alignment horizontal="center"/>
    </xf>
    <xf numFmtId="0" fontId="0" fillId="0" borderId="68" xfId="0" applyBorder="1"/>
    <xf numFmtId="0" fontId="21" fillId="0" borderId="68" xfId="0" applyFont="1" applyBorder="1" applyAlignment="1">
      <alignment horizontal="right" vertical="center" wrapText="1"/>
    </xf>
    <xf numFmtId="0" fontId="6" fillId="0" borderId="68" xfId="0" applyFont="1" applyBorder="1" applyAlignment="1">
      <alignment horizontal="center" vertical="center" wrapText="1"/>
    </xf>
    <xf numFmtId="3" fontId="21" fillId="0" borderId="68" xfId="0" applyNumberFormat="1" applyFont="1" applyBorder="1" applyAlignment="1">
      <alignment horizontal="right" vertical="center" wrapText="1"/>
    </xf>
    <xf numFmtId="3" fontId="6" fillId="0" borderId="68" xfId="0" applyNumberFormat="1" applyFont="1" applyBorder="1" applyAlignment="1">
      <alignment horizontal="right" vertical="center" wrapText="1"/>
    </xf>
    <xf numFmtId="0" fontId="2" fillId="6" borderId="67" xfId="0" applyFont="1" applyFill="1" applyBorder="1" applyAlignment="1">
      <alignment horizontal="center" vertical="center" wrapText="1"/>
    </xf>
    <xf numFmtId="0" fontId="2" fillId="6" borderId="69" xfId="0" applyFont="1" applyFill="1" applyBorder="1" applyAlignment="1">
      <alignment horizontal="center" vertical="center" wrapText="1"/>
    </xf>
    <xf numFmtId="0" fontId="2" fillId="6" borderId="70" xfId="0" applyFont="1" applyFill="1" applyBorder="1" applyAlignment="1">
      <alignment horizontal="center" vertical="center" wrapText="1"/>
    </xf>
    <xf numFmtId="0" fontId="2" fillId="6" borderId="71"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6" fillId="0" borderId="72" xfId="0" applyFont="1" applyBorder="1" applyAlignment="1">
      <alignment horizontal="center"/>
    </xf>
    <xf numFmtId="4" fontId="6" fillId="0" borderId="68" xfId="0" applyNumberFormat="1" applyFont="1" applyBorder="1" applyAlignment="1">
      <alignment horizontal="right" vertical="center" wrapText="1"/>
    </xf>
    <xf numFmtId="4" fontId="21" fillId="0" borderId="68" xfId="0" applyNumberFormat="1" applyFont="1" applyBorder="1" applyAlignment="1">
      <alignment horizontal="right"/>
    </xf>
    <xf numFmtId="4" fontId="6" fillId="0" borderId="68" xfId="0" applyNumberFormat="1" applyFont="1" applyBorder="1" applyAlignment="1">
      <alignment horizontal="right"/>
    </xf>
    <xf numFmtId="4" fontId="0" fillId="0" borderId="68" xfId="0" applyNumberFormat="1" applyBorder="1"/>
    <xf numFmtId="166" fontId="0" fillId="0" borderId="0" xfId="4" applyNumberFormat="1" applyFont="1"/>
    <xf numFmtId="166" fontId="0" fillId="0" borderId="0" xfId="0" applyNumberFormat="1"/>
    <xf numFmtId="166" fontId="11" fillId="0" borderId="0" xfId="3" applyNumberFormat="1"/>
    <xf numFmtId="167" fontId="0" fillId="0" borderId="0" xfId="0" applyNumberFormat="1"/>
    <xf numFmtId="0" fontId="6" fillId="0" borderId="68" xfId="0" applyFont="1" applyBorder="1" applyAlignment="1">
      <alignment horizontal="center"/>
    </xf>
    <xf numFmtId="0" fontId="2" fillId="5" borderId="75"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12" fillId="0" borderId="78" xfId="0" applyFont="1" applyBorder="1" applyAlignment="1">
      <alignment horizontal="right" wrapText="1"/>
    </xf>
    <xf numFmtId="3" fontId="12" fillId="0" borderId="78" xfId="0" applyNumberFormat="1" applyFont="1" applyBorder="1"/>
    <xf numFmtId="3" fontId="6" fillId="0" borderId="78" xfId="0" applyNumberFormat="1" applyFont="1" applyBorder="1"/>
    <xf numFmtId="3" fontId="21" fillId="0" borderId="78" xfId="0" applyNumberFormat="1" applyFont="1" applyBorder="1" applyAlignment="1">
      <alignment horizontal="right" vertical="center"/>
    </xf>
    <xf numFmtId="3" fontId="12" fillId="0" borderId="78" xfId="0" applyNumberFormat="1" applyFont="1" applyBorder="1" applyAlignment="1">
      <alignment horizontal="right" vertical="center"/>
    </xf>
    <xf numFmtId="3" fontId="6" fillId="0" borderId="78" xfId="0" applyNumberFormat="1" applyFont="1" applyBorder="1" applyAlignment="1">
      <alignment horizontal="right"/>
    </xf>
    <xf numFmtId="3" fontId="12" fillId="0" borderId="78" xfId="0" applyNumberFormat="1" applyFont="1" applyBorder="1" applyAlignment="1">
      <alignment horizontal="right"/>
    </xf>
    <xf numFmtId="0" fontId="6" fillId="0" borderId="79" xfId="0" applyFont="1" applyBorder="1" applyAlignment="1">
      <alignment horizontal="center"/>
    </xf>
    <xf numFmtId="0" fontId="6" fillId="0" borderId="0" xfId="0" applyFont="1" applyAlignment="1">
      <alignment horizontal="center" vertical="center"/>
    </xf>
    <xf numFmtId="4" fontId="12" fillId="0" borderId="7" xfId="0" applyNumberFormat="1" applyFont="1" applyBorder="1" applyAlignment="1">
      <alignment horizontal="center" vertical="center"/>
    </xf>
    <xf numFmtId="168" fontId="21" fillId="0" borderId="7" xfId="0" applyNumberFormat="1" applyFont="1" applyBorder="1" applyAlignment="1">
      <alignment horizontal="center" vertical="center"/>
    </xf>
    <xf numFmtId="169" fontId="21" fillId="0" borderId="68" xfId="0" applyNumberFormat="1" applyFont="1" applyBorder="1" applyAlignment="1">
      <alignment horizontal="right"/>
    </xf>
    <xf numFmtId="3" fontId="21" fillId="0" borderId="68" xfId="0" applyNumberFormat="1" applyFont="1" applyBorder="1" applyAlignment="1">
      <alignment horizontal="right"/>
    </xf>
    <xf numFmtId="169" fontId="6" fillId="0" borderId="68" xfId="0" applyNumberFormat="1" applyFont="1" applyBorder="1" applyAlignment="1">
      <alignment horizontal="right"/>
    </xf>
    <xf numFmtId="169" fontId="6" fillId="0" borderId="68" xfId="0" applyNumberFormat="1" applyFont="1" applyBorder="1" applyAlignment="1">
      <alignment wrapText="1"/>
    </xf>
    <xf numFmtId="169" fontId="6" fillId="0" borderId="68" xfId="0" applyNumberFormat="1" applyFont="1" applyBorder="1" applyAlignment="1">
      <alignment horizontal="right" vertical="center" wrapText="1"/>
    </xf>
    <xf numFmtId="10" fontId="0" fillId="0" borderId="0" xfId="0" applyNumberFormat="1"/>
    <xf numFmtId="0" fontId="0" fillId="0" borderId="0" xfId="0" applyAlignment="1">
      <alignment horizontal="center" vertical="center"/>
    </xf>
    <xf numFmtId="0" fontId="1" fillId="0" borderId="0" xfId="0" applyFont="1" applyAlignment="1">
      <alignment horizontal="left" vertical="top"/>
    </xf>
    <xf numFmtId="166" fontId="0" fillId="0" borderId="68" xfId="4" applyNumberFormat="1" applyFont="1" applyBorder="1"/>
    <xf numFmtId="43" fontId="0" fillId="0" borderId="68" xfId="4" applyFont="1" applyBorder="1"/>
    <xf numFmtId="43" fontId="0" fillId="0" borderId="68" xfId="0" applyNumberFormat="1" applyBorder="1"/>
    <xf numFmtId="166" fontId="0" fillId="0" borderId="68" xfId="0" applyNumberFormat="1" applyBorder="1"/>
    <xf numFmtId="166" fontId="0" fillId="7" borderId="68" xfId="4" applyNumberFormat="1" applyFont="1" applyFill="1" applyBorder="1"/>
    <xf numFmtId="0" fontId="0" fillId="0" borderId="68" xfId="0" applyBorder="1" applyAlignment="1">
      <alignment horizontal="center" vertical="center"/>
    </xf>
    <xf numFmtId="0" fontId="0" fillId="0" borderId="0" xfId="0" applyAlignment="1">
      <alignment vertical="top"/>
    </xf>
    <xf numFmtId="0" fontId="11" fillId="0" borderId="0" xfId="3" applyAlignment="1">
      <alignment horizontal="left" vertical="center"/>
    </xf>
    <xf numFmtId="0" fontId="11" fillId="0" borderId="0" xfId="3" applyAlignment="1">
      <alignment horizontal="left" vertical="top"/>
    </xf>
    <xf numFmtId="0" fontId="6" fillId="0" borderId="0" xfId="0" applyFont="1" applyAlignment="1">
      <alignment horizontal="left" vertical="top"/>
    </xf>
    <xf numFmtId="0" fontId="2" fillId="5" borderId="88" xfId="0" applyFont="1" applyFill="1" applyBorder="1" applyAlignment="1">
      <alignment horizontal="center" vertical="center" wrapText="1"/>
    </xf>
    <xf numFmtId="0" fontId="2" fillId="5" borderId="89" xfId="0" applyFont="1" applyFill="1" applyBorder="1" applyAlignment="1">
      <alignment horizontal="center" vertical="center" wrapText="1"/>
    </xf>
    <xf numFmtId="0" fontId="2" fillId="5" borderId="90" xfId="0" applyFont="1" applyFill="1" applyBorder="1" applyAlignment="1">
      <alignment horizontal="center" vertical="center" wrapText="1"/>
    </xf>
    <xf numFmtId="0" fontId="0" fillId="0" borderId="91" xfId="0" applyBorder="1"/>
    <xf numFmtId="0" fontId="0" fillId="0" borderId="91" xfId="0" applyBorder="1" applyAlignment="1">
      <alignment horizontal="center" vertical="center"/>
    </xf>
    <xf numFmtId="0" fontId="0" fillId="0" borderId="92" xfId="0" applyBorder="1"/>
    <xf numFmtId="0" fontId="0" fillId="0" borderId="93" xfId="0" applyBorder="1"/>
    <xf numFmtId="0" fontId="11" fillId="0" borderId="68" xfId="3" applyBorder="1"/>
    <xf numFmtId="0" fontId="11" fillId="0" borderId="68" xfId="3" applyBorder="1" applyAlignment="1">
      <alignment horizontal="left" vertical="top"/>
    </xf>
    <xf numFmtId="170" fontId="6" fillId="0" borderId="78" xfId="0" applyNumberFormat="1" applyFont="1" applyBorder="1" applyAlignment="1">
      <alignment horizontal="right"/>
    </xf>
    <xf numFmtId="4" fontId="8" fillId="0" borderId="1" xfId="0" applyNumberFormat="1" applyFont="1" applyBorder="1" applyAlignment="1">
      <alignment horizontal="center" vertical="center"/>
    </xf>
    <xf numFmtId="0" fontId="2" fillId="5" borderId="0" xfId="0" applyFont="1" applyFill="1" applyAlignment="1">
      <alignment horizontal="center" vertical="center" wrapText="1"/>
    </xf>
    <xf numFmtId="3" fontId="12" fillId="0" borderId="0" xfId="0" applyNumberFormat="1" applyFont="1" applyAlignment="1">
      <alignment horizontal="center" vertical="center"/>
    </xf>
    <xf numFmtId="3" fontId="0" fillId="0" borderId="0" xfId="0" applyNumberFormat="1" applyAlignment="1">
      <alignment horizontal="right" wrapText="1"/>
    </xf>
    <xf numFmtId="169" fontId="6" fillId="0" borderId="41" xfId="0" applyNumberFormat="1" applyFont="1" applyBorder="1" applyAlignment="1">
      <alignment horizontal="right"/>
    </xf>
    <xf numFmtId="169" fontId="6" fillId="0" borderId="67" xfId="0" applyNumberFormat="1" applyFont="1" applyBorder="1" applyAlignment="1">
      <alignment horizontal="right"/>
    </xf>
    <xf numFmtId="169" fontId="6" fillId="0" borderId="1" xfId="0" applyNumberFormat="1" applyFont="1" applyBorder="1" applyAlignment="1">
      <alignment horizontal="right"/>
    </xf>
    <xf numFmtId="169" fontId="6" fillId="0" borderId="57" xfId="0" applyNumberFormat="1" applyFont="1" applyBorder="1" applyAlignment="1">
      <alignment horizontal="right"/>
    </xf>
    <xf numFmtId="169" fontId="6" fillId="0" borderId="18" xfId="0" applyNumberFormat="1" applyFont="1" applyBorder="1" applyAlignment="1">
      <alignment horizontal="right"/>
    </xf>
    <xf numFmtId="169" fontId="6" fillId="0" borderId="64" xfId="0" applyNumberFormat="1" applyFont="1" applyBorder="1" applyAlignment="1">
      <alignment horizontal="right"/>
    </xf>
    <xf numFmtId="169" fontId="8" fillId="0" borderId="1" xfId="0" applyNumberFormat="1" applyFont="1" applyBorder="1" applyAlignment="1">
      <alignment horizontal="right"/>
    </xf>
    <xf numFmtId="0" fontId="0" fillId="0" borderId="1" xfId="0" applyBorder="1" applyAlignment="1">
      <alignment horizontal="center" vertical="center"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2" fillId="0" borderId="53" xfId="0" applyFont="1" applyBorder="1" applyAlignment="1">
      <alignment horizontal="left" vertical="center" wrapText="1"/>
    </xf>
    <xf numFmtId="0" fontId="2" fillId="0" borderId="15" xfId="0" applyFont="1" applyBorder="1" applyAlignment="1">
      <alignment horizontal="left" vertical="center" wrapText="1"/>
    </xf>
    <xf numFmtId="0" fontId="2" fillId="0" borderId="52" xfId="0" applyFont="1" applyBorder="1" applyAlignment="1">
      <alignment horizontal="left" vertical="center" wrapText="1"/>
    </xf>
    <xf numFmtId="0" fontId="0" fillId="0" borderId="0" xfId="0" applyAlignment="1">
      <alignment horizontal="left" wrapText="1"/>
    </xf>
    <xf numFmtId="0" fontId="0" fillId="0" borderId="34" xfId="0" applyBorder="1" applyAlignment="1">
      <alignment horizontal="left" wrapText="1"/>
    </xf>
    <xf numFmtId="0" fontId="0" fillId="0" borderId="56" xfId="0" applyBorder="1" applyAlignment="1">
      <alignment horizontal="left" wrapText="1"/>
    </xf>
    <xf numFmtId="0" fontId="0" fillId="0" borderId="55" xfId="0" applyBorder="1" applyAlignment="1">
      <alignment horizontal="left" wrapText="1"/>
    </xf>
    <xf numFmtId="0" fontId="10" fillId="0" borderId="0" xfId="0" applyFont="1" applyAlignment="1">
      <alignment horizontal="center" vertical="center" wrapText="1"/>
    </xf>
    <xf numFmtId="0" fontId="10" fillId="0" borderId="2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27" xfId="0" applyFont="1" applyBorder="1" applyAlignment="1">
      <alignment horizontal="center" vertical="center" wrapText="1"/>
    </xf>
    <xf numFmtId="0" fontId="2" fillId="5" borderId="56"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6"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10" fillId="0" borderId="46"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0" xfId="0" applyFont="1" applyBorder="1" applyAlignment="1">
      <alignment horizontal="center" vertical="center" wrapText="1"/>
    </xf>
    <xf numFmtId="0" fontId="0" fillId="0" borderId="40" xfId="0" applyBorder="1" applyAlignment="1">
      <alignment horizontal="left" vertical="center" wrapText="1"/>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2" fillId="0" borderId="51" xfId="0" applyFont="1" applyBorder="1" applyAlignment="1">
      <alignment horizontal="center" vertical="center"/>
    </xf>
    <xf numFmtId="0" fontId="2" fillId="0" borderId="37"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44" xfId="0" applyFont="1" applyBorder="1" applyAlignment="1">
      <alignment horizontal="center" vertical="center"/>
    </xf>
    <xf numFmtId="0" fontId="2" fillId="0" borderId="38" xfId="0" applyFont="1" applyBorder="1" applyAlignment="1">
      <alignment horizontal="center" vertical="center"/>
    </xf>
    <xf numFmtId="0" fontId="2" fillId="0" borderId="33"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4" xfId="0" applyFont="1" applyBorder="1" applyAlignment="1">
      <alignment horizontal="center" vertical="center" wrapText="1"/>
    </xf>
    <xf numFmtId="0" fontId="0" fillId="0" borderId="85" xfId="0" applyBorder="1" applyAlignment="1">
      <alignment horizontal="left"/>
    </xf>
    <xf numFmtId="0" fontId="0" fillId="0" borderId="86" xfId="0" applyBorder="1" applyAlignment="1">
      <alignment horizontal="left"/>
    </xf>
    <xf numFmtId="0" fontId="0" fillId="0" borderId="87" xfId="0" applyBorder="1" applyAlignment="1">
      <alignment horizontal="left"/>
    </xf>
    <xf numFmtId="0" fontId="0" fillId="0" borderId="26" xfId="0" applyBorder="1" applyAlignment="1">
      <alignment horizontal="left" vertical="center" wrapText="1"/>
    </xf>
    <xf numFmtId="0" fontId="0" fillId="0" borderId="27" xfId="0" applyBorder="1" applyAlignment="1">
      <alignment horizontal="left" vertical="center" wrapText="1"/>
    </xf>
    <xf numFmtId="0" fontId="11" fillId="0" borderId="13" xfId="1" applyBorder="1" applyAlignment="1">
      <alignment horizontal="left"/>
    </xf>
    <xf numFmtId="0" fontId="11" fillId="0" borderId="42" xfId="1" applyBorder="1" applyAlignment="1">
      <alignment horizontal="left"/>
    </xf>
    <xf numFmtId="0" fontId="11" fillId="0" borderId="43" xfId="1" applyBorder="1" applyAlignment="1">
      <alignment horizontal="left"/>
    </xf>
    <xf numFmtId="0" fontId="11" fillId="0" borderId="19" xfId="1" applyBorder="1" applyAlignment="1">
      <alignment horizontal="left" wrapText="1"/>
    </xf>
    <xf numFmtId="0" fontId="11" fillId="0" borderId="11" xfId="1" applyBorder="1" applyAlignment="1">
      <alignment horizontal="left" wrapText="1"/>
    </xf>
    <xf numFmtId="0" fontId="11" fillId="0" borderId="38" xfId="1" applyBorder="1" applyAlignment="1">
      <alignment horizontal="left" wrapText="1"/>
    </xf>
    <xf numFmtId="0" fontId="2" fillId="0" borderId="33" xfId="0" applyFont="1" applyBorder="1" applyAlignment="1">
      <alignment horizontal="center" vertical="center"/>
    </xf>
    <xf numFmtId="0" fontId="2" fillId="0" borderId="56"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horizontal="center" vertical="center"/>
    </xf>
    <xf numFmtId="0" fontId="2" fillId="0" borderId="34" xfId="0" applyFont="1" applyBorder="1" applyAlignment="1">
      <alignment horizontal="center" vertical="center"/>
    </xf>
    <xf numFmtId="0" fontId="2" fillId="0" borderId="23" xfId="0" applyFont="1" applyBorder="1" applyAlignment="1">
      <alignment horizontal="center" vertical="center"/>
    </xf>
    <xf numFmtId="0" fontId="2" fillId="0" borderId="54" xfId="0" applyFont="1" applyBorder="1" applyAlignment="1">
      <alignment horizontal="center" vertical="center"/>
    </xf>
    <xf numFmtId="0" fontId="22" fillId="0" borderId="17" xfId="0" applyFont="1" applyBorder="1" applyAlignment="1">
      <alignment horizontal="center" vertical="center"/>
    </xf>
    <xf numFmtId="0" fontId="2" fillId="5" borderId="16" xfId="0" applyFont="1" applyFill="1" applyBorder="1" applyAlignment="1">
      <alignment horizontal="center" vertical="center" wrapText="1"/>
    </xf>
    <xf numFmtId="3" fontId="2" fillId="5" borderId="14" xfId="0" applyNumberFormat="1" applyFont="1" applyFill="1" applyBorder="1" applyAlignment="1">
      <alignment horizontal="center" vertical="center" wrapText="1"/>
    </xf>
    <xf numFmtId="3" fontId="2" fillId="5" borderId="16" xfId="0" applyNumberFormat="1" applyFont="1" applyFill="1" applyBorder="1" applyAlignment="1">
      <alignment horizontal="center" vertical="center" wrapText="1"/>
    </xf>
    <xf numFmtId="0" fontId="22" fillId="0" borderId="17" xfId="0" applyFont="1" applyBorder="1" applyAlignment="1">
      <alignment horizontal="center" wrapText="1"/>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5" borderId="35"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54" xfId="0" applyFont="1" applyFill="1" applyBorder="1" applyAlignment="1">
      <alignment horizontal="center" vertical="center" wrapText="1"/>
    </xf>
    <xf numFmtId="0" fontId="0" fillId="0" borderId="56" xfId="0" applyBorder="1" applyAlignment="1">
      <alignment horizontal="center" wrapText="1"/>
    </xf>
    <xf numFmtId="0" fontId="0" fillId="0" borderId="55" xfId="0" applyBorder="1" applyAlignment="1">
      <alignment horizontal="center" wrapText="1"/>
    </xf>
    <xf numFmtId="0" fontId="0" fillId="0" borderId="17" xfId="0" applyBorder="1" applyAlignment="1">
      <alignment horizontal="left"/>
    </xf>
    <xf numFmtId="0" fontId="0" fillId="0" borderId="54" xfId="0" applyBorder="1" applyAlignment="1">
      <alignment horizontal="left"/>
    </xf>
    <xf numFmtId="0" fontId="2" fillId="5" borderId="52"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58" xfId="0" applyFont="1" applyFill="1" applyBorder="1" applyAlignment="1">
      <alignment horizontal="center" vertical="center" wrapText="1"/>
    </xf>
    <xf numFmtId="0" fontId="0" fillId="0" borderId="20" xfId="0" applyBorder="1" applyAlignment="1">
      <alignment horizontal="left" vertical="top" wrapText="1"/>
    </xf>
    <xf numFmtId="0" fontId="0" fillId="0" borderId="12" xfId="0" applyBorder="1" applyAlignment="1">
      <alignment horizontal="left" vertical="top" wrapText="1"/>
    </xf>
    <xf numFmtId="0" fontId="0" fillId="0" borderId="36" xfId="0" applyBorder="1" applyAlignment="1">
      <alignment horizontal="left" vertical="top" wrapText="1"/>
    </xf>
    <xf numFmtId="0" fontId="0" fillId="0" borderId="24" xfId="0" applyBorder="1" applyAlignment="1">
      <alignment horizontal="left" wrapText="1"/>
    </xf>
    <xf numFmtId="0" fontId="0" fillId="0" borderId="45" xfId="0" applyBorder="1" applyAlignment="1">
      <alignment horizontal="left" wrapText="1"/>
    </xf>
    <xf numFmtId="0" fontId="0" fillId="0" borderId="31" xfId="0" applyBorder="1" applyAlignment="1">
      <alignment horizontal="left"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1" fillId="0" borderId="20" xfId="1" applyBorder="1" applyAlignment="1">
      <alignment horizontal="left" vertical="center" wrapText="1"/>
    </xf>
    <xf numFmtId="0" fontId="11" fillId="0" borderId="12" xfId="1" applyBorder="1" applyAlignment="1">
      <alignment horizontal="left" vertical="center" wrapText="1"/>
    </xf>
    <xf numFmtId="0" fontId="11" fillId="0" borderId="36" xfId="1" applyBorder="1" applyAlignment="1">
      <alignment horizontal="left" vertical="center" wrapText="1"/>
    </xf>
    <xf numFmtId="0" fontId="11" fillId="0" borderId="24" xfId="1" applyBorder="1" applyAlignment="1">
      <alignment horizontal="left" vertical="center"/>
    </xf>
    <xf numFmtId="0" fontId="11" fillId="0" borderId="45" xfId="1" applyBorder="1" applyAlignment="1">
      <alignment horizontal="left" vertical="center"/>
    </xf>
    <xf numFmtId="0" fontId="11" fillId="0" borderId="31" xfId="1" applyBorder="1" applyAlignment="1">
      <alignment horizontal="left" vertical="center"/>
    </xf>
    <xf numFmtId="0" fontId="22" fillId="0" borderId="0" xfId="0" applyFont="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0" fillId="0" borderId="13" xfId="0" applyBorder="1" applyAlignment="1">
      <alignment horizontal="left" vertical="center" wrapText="1"/>
    </xf>
    <xf numFmtId="0" fontId="0" fillId="0" borderId="43" xfId="0" applyBorder="1" applyAlignment="1">
      <alignment horizontal="left" vertical="center" wrapText="1"/>
    </xf>
    <xf numFmtId="0" fontId="0" fillId="0" borderId="7" xfId="0" applyBorder="1" applyAlignment="1">
      <alignment horizontal="left" wrapText="1"/>
    </xf>
    <xf numFmtId="0" fontId="0" fillId="0" borderId="37" xfId="0" applyBorder="1" applyAlignment="1">
      <alignment horizontal="left" wrapText="1"/>
    </xf>
    <xf numFmtId="0" fontId="0" fillId="0" borderId="7" xfId="0" applyBorder="1" applyAlignment="1">
      <alignment horizontal="left" vertical="center" wrapText="1"/>
    </xf>
    <xf numFmtId="0" fontId="0" fillId="0" borderId="37" xfId="0" applyBorder="1" applyAlignment="1">
      <alignment horizontal="left" vertical="center" wrapText="1"/>
    </xf>
    <xf numFmtId="0" fontId="0" fillId="0" borderId="19" xfId="0" applyBorder="1" applyAlignment="1">
      <alignment horizontal="left" wrapText="1"/>
    </xf>
    <xf numFmtId="0" fontId="0" fillId="0" borderId="38" xfId="0" applyBorder="1" applyAlignment="1">
      <alignment horizontal="left" wrapText="1"/>
    </xf>
    <xf numFmtId="0" fontId="0" fillId="0" borderId="13" xfId="0" applyBorder="1" applyAlignment="1">
      <alignment vertical="center" wrapText="1"/>
    </xf>
    <xf numFmtId="0" fontId="0" fillId="0" borderId="43" xfId="0" applyBorder="1" applyAlignment="1">
      <alignment vertical="center" wrapText="1"/>
    </xf>
    <xf numFmtId="0" fontId="0" fillId="0" borderId="19" xfId="0" applyBorder="1" applyAlignment="1">
      <alignment horizontal="left" vertical="center"/>
    </xf>
    <xf numFmtId="0" fontId="0" fillId="0" borderId="38" xfId="0" applyBorder="1" applyAlignment="1">
      <alignment horizontal="left" vertical="center"/>
    </xf>
    <xf numFmtId="0" fontId="2" fillId="5" borderId="73" xfId="0" applyFont="1" applyFill="1" applyBorder="1" applyAlignment="1">
      <alignment horizontal="center" vertical="center" wrapText="1"/>
    </xf>
    <xf numFmtId="0" fontId="2" fillId="5" borderId="76" xfId="0" applyFont="1" applyFill="1" applyBorder="1" applyAlignment="1">
      <alignment horizontal="center" vertical="center" wrapText="1"/>
    </xf>
    <xf numFmtId="0" fontId="2" fillId="5" borderId="74" xfId="0" applyFont="1" applyFill="1" applyBorder="1" applyAlignment="1">
      <alignment horizontal="center" vertical="center" wrapText="1"/>
    </xf>
    <xf numFmtId="0" fontId="2" fillId="5" borderId="80" xfId="0" applyFont="1" applyFill="1" applyBorder="1" applyAlignment="1">
      <alignment horizontal="center" vertical="center" wrapText="1"/>
    </xf>
    <xf numFmtId="0" fontId="2" fillId="5" borderId="81" xfId="0" applyFont="1" applyFill="1" applyBorder="1" applyAlignment="1">
      <alignment horizontal="center" vertical="center" wrapText="1"/>
    </xf>
    <xf numFmtId="0" fontId="2" fillId="5" borderId="82" xfId="0" applyFont="1" applyFill="1" applyBorder="1" applyAlignment="1">
      <alignment horizontal="center" vertical="center" wrapText="1"/>
    </xf>
    <xf numFmtId="0" fontId="0" fillId="0" borderId="47" xfId="0" applyBorder="1" applyAlignment="1">
      <alignment horizontal="center"/>
    </xf>
    <xf numFmtId="0" fontId="0" fillId="0" borderId="48" xfId="0" applyBorder="1" applyAlignment="1">
      <alignment horizontal="center"/>
    </xf>
    <xf numFmtId="0" fontId="2" fillId="5" borderId="23" xfId="0" applyFont="1" applyFill="1" applyBorder="1" applyAlignment="1">
      <alignment horizontal="center" vertical="center" wrapText="1"/>
    </xf>
    <xf numFmtId="0" fontId="0" fillId="0" borderId="12" xfId="0" applyBorder="1" applyAlignment="1">
      <alignment vertical="center" wrapText="1"/>
    </xf>
    <xf numFmtId="0" fontId="0" fillId="0" borderId="36" xfId="0" applyBorder="1" applyAlignment="1">
      <alignment vertical="center" wrapText="1"/>
    </xf>
    <xf numFmtId="0" fontId="2" fillId="0" borderId="20" xfId="0" applyFont="1" applyBorder="1" applyAlignment="1">
      <alignment horizontal="center" wrapText="1"/>
    </xf>
    <xf numFmtId="0" fontId="2" fillId="0" borderId="24" xfId="0" applyFont="1" applyBorder="1" applyAlignment="1">
      <alignment horizontal="center" wrapText="1"/>
    </xf>
    <xf numFmtId="0" fontId="0" fillId="0" borderId="45" xfId="0" applyBorder="1" applyAlignment="1">
      <alignment vertical="center" wrapText="1"/>
    </xf>
    <xf numFmtId="0" fontId="0" fillId="0" borderId="31" xfId="0" applyBorder="1" applyAlignment="1">
      <alignment vertical="center" wrapText="1"/>
    </xf>
    <xf numFmtId="0" fontId="2" fillId="0" borderId="15" xfId="0" applyFont="1" applyBorder="1" applyAlignment="1">
      <alignment horizontal="center" vertical="center"/>
    </xf>
    <xf numFmtId="0" fontId="0" fillId="0" borderId="32" xfId="0" applyBorder="1" applyAlignment="1">
      <alignment vertical="center" wrapText="1"/>
    </xf>
    <xf numFmtId="0" fontId="0" fillId="0" borderId="22" xfId="0" applyBorder="1" applyAlignment="1">
      <alignment vertical="center" wrapText="1"/>
    </xf>
    <xf numFmtId="0" fontId="0" fillId="0" borderId="29" xfId="0" applyBorder="1" applyAlignment="1">
      <alignment vertical="center" wrapText="1"/>
    </xf>
    <xf numFmtId="0" fontId="22" fillId="0" borderId="17" xfId="0" applyFont="1" applyBorder="1" applyAlignment="1">
      <alignment horizontal="center"/>
    </xf>
    <xf numFmtId="0" fontId="0" fillId="0" borderId="47" xfId="0" applyBorder="1" applyAlignment="1">
      <alignment horizontal="left" vertical="center" wrapText="1"/>
    </xf>
    <xf numFmtId="0" fontId="0" fillId="0" borderId="48" xfId="0" applyBorder="1" applyAlignment="1">
      <alignment horizontal="left" vertical="center" wrapText="1"/>
    </xf>
    <xf numFmtId="0" fontId="2" fillId="6" borderId="15" xfId="0" applyFont="1" applyFill="1" applyBorder="1" applyAlignment="1">
      <alignment horizontal="center" vertical="center" wrapText="1"/>
    </xf>
    <xf numFmtId="0" fontId="2" fillId="6" borderId="33" xfId="0" applyFont="1" applyFill="1" applyBorder="1" applyAlignment="1">
      <alignment horizontal="center"/>
    </xf>
    <xf numFmtId="0" fontId="2" fillId="6" borderId="55" xfId="0" applyFont="1" applyFill="1" applyBorder="1" applyAlignment="1">
      <alignment horizontal="center"/>
    </xf>
    <xf numFmtId="0" fontId="2" fillId="6" borderId="56" xfId="0" applyFont="1" applyFill="1" applyBorder="1" applyAlignment="1">
      <alignment horizontal="center"/>
    </xf>
    <xf numFmtId="0" fontId="2" fillId="6" borderId="1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54" xfId="0" applyFont="1" applyFill="1" applyBorder="1" applyAlignment="1">
      <alignment horizontal="center" vertical="center" wrapText="1"/>
    </xf>
    <xf numFmtId="0" fontId="2" fillId="6" borderId="68" xfId="0" applyFont="1" applyFill="1" applyBorder="1" applyAlignment="1">
      <alignment horizontal="center" vertical="center" wrapText="1"/>
    </xf>
    <xf numFmtId="0" fontId="28" fillId="0" borderId="0" xfId="0" applyFont="1" applyAlignment="1">
      <alignment horizontal="center" wrapText="1"/>
    </xf>
    <xf numFmtId="0" fontId="28" fillId="0" borderId="17" xfId="0" applyFont="1" applyBorder="1" applyAlignment="1">
      <alignment horizontal="center" wrapText="1"/>
    </xf>
    <xf numFmtId="0" fontId="0" fillId="0" borderId="40"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166" fontId="32" fillId="0" borderId="0" xfId="4" applyNumberFormat="1" applyFont="1" applyAlignment="1">
      <alignment horizontal="left" vertical="top" wrapText="1"/>
    </xf>
    <xf numFmtId="166" fontId="31" fillId="0" borderId="0" xfId="4" applyNumberFormat="1" applyFont="1" applyAlignment="1">
      <alignment horizontal="left" vertical="top" wrapText="1"/>
    </xf>
    <xf numFmtId="0" fontId="0" fillId="0" borderId="0" xfId="0" applyAlignment="1">
      <alignment horizontal="center" vertical="center"/>
    </xf>
    <xf numFmtId="0" fontId="0" fillId="0" borderId="26" xfId="0" applyBorder="1" applyAlignment="1"/>
    <xf numFmtId="0" fontId="0" fillId="0" borderId="27" xfId="0" applyBorder="1" applyAlignment="1"/>
    <xf numFmtId="0" fontId="0" fillId="0" borderId="41" xfId="0" applyBorder="1" applyAlignment="1"/>
    <xf numFmtId="0" fontId="0" fillId="0" borderId="42" xfId="0" applyBorder="1" applyAlignment="1"/>
    <xf numFmtId="0" fontId="0" fillId="0" borderId="43" xfId="0" applyBorder="1" applyAlignment="1"/>
    <xf numFmtId="0" fontId="0" fillId="0" borderId="44" xfId="0" applyBorder="1" applyAlignment="1"/>
    <xf numFmtId="0" fontId="0" fillId="0" borderId="11" xfId="0" applyBorder="1" applyAlignment="1"/>
    <xf numFmtId="0" fontId="0" fillId="0" borderId="38" xfId="0" applyBorder="1" applyAlignment="1"/>
  </cellXfs>
  <cellStyles count="5">
    <cellStyle name="Hipervínculo" xfId="1" builtinId="8"/>
    <cellStyle name="Hyperlink" xfId="3" xr:uid="{00000000-000B-0000-0000-000008000000}"/>
    <cellStyle name="Millares" xfId="4" builtinId="3"/>
    <cellStyle name="Normal" xfId="0" builtinId="0"/>
    <cellStyle name="Normal 2" xfId="2" xr:uid="{D193C42B-E697-4469-BC5D-B550C6DC996A}"/>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19050" cap="rnd">
              <a:solidFill>
                <a:schemeClr val="accent1"/>
              </a:solidFill>
              <a:round/>
            </a:ln>
            <a:effectLst/>
          </c:spPr>
          <c:marker>
            <c:symbol val="none"/>
          </c:marker>
          <c:cat>
            <c:numRef>
              <c:f>'Producción Pez'!$A$2:$A$22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'Producción Pez'!$H$2:$H$22</c:f>
              <c:numCache>
                <c:formatCode>_(* #,##0.00_);_(* \(#,##0.00\);_(* "-"??_);_(@_)</c:formatCode>
                <c:ptCount val="21"/>
                <c:pt idx="0">
                  <c:v>2229426.0030219103</c:v>
                </c:pt>
                <c:pt idx="1">
                  <c:v>3489350.9318837402</c:v>
                </c:pt>
                <c:pt idx="2">
                  <c:v>4749275.8607455706</c:v>
                </c:pt>
                <c:pt idx="3">
                  <c:v>6009200.789607401</c:v>
                </c:pt>
                <c:pt idx="4">
                  <c:v>7269125.7184692305</c:v>
                </c:pt>
                <c:pt idx="5">
                  <c:v>8529050.6473310608</c:v>
                </c:pt>
                <c:pt idx="6">
                  <c:v>9797816.9986689314</c:v>
                </c:pt>
                <c:pt idx="7">
                  <c:v>9109205.7211855706</c:v>
                </c:pt>
                <c:pt idx="8">
                  <c:v>8079356.9037512103</c:v>
                </c:pt>
                <c:pt idx="9">
                  <c:v>7209245.1753360508</c:v>
                </c:pt>
                <c:pt idx="10">
                  <c:v>6387080.8819841109</c:v>
                </c:pt>
                <c:pt idx="11">
                  <c:v>7506681.5680780001</c:v>
                </c:pt>
                <c:pt idx="12">
                  <c:v>8762427</c:v>
                </c:pt>
                <c:pt idx="13">
                  <c:v>12826765</c:v>
                </c:pt>
                <c:pt idx="14">
                  <c:v>12777337</c:v>
                </c:pt>
                <c:pt idx="15">
                  <c:v>12727909</c:v>
                </c:pt>
                <c:pt idx="16">
                  <c:v>11888291</c:v>
                </c:pt>
                <c:pt idx="17">
                  <c:v>11048673</c:v>
                </c:pt>
                <c:pt idx="18">
                  <c:v>7989510</c:v>
                </c:pt>
                <c:pt idx="19">
                  <c:v>6159027</c:v>
                </c:pt>
                <c:pt idx="20">
                  <c:v>4328544</c:v>
                </c:pt>
              </c:numCache>
            </c:numRef>
          </c:val>
          <c:smooth val="0"/>
          <c:extLst>
            <c:ext xmlns:c16="http://schemas.microsoft.com/office/drawing/2014/chart" uri="{C3380CC4-5D6E-409C-BE32-E72D297353CC}">
              <c16:uniqueId val="{00000001-F7D7-45F6-AABD-8AFB7501ACB7}"/>
            </c:ext>
          </c:extLst>
        </c:ser>
        <c:dLbls>
          <c:showLegendKey val="0"/>
          <c:showVal val="0"/>
          <c:showCatName val="0"/>
          <c:showSerName val="0"/>
          <c:showPercent val="0"/>
          <c:showBubbleSize val="0"/>
        </c:dLbls>
        <c:smooth val="0"/>
        <c:axId val="2052170792"/>
        <c:axId val="2052166328"/>
      </c:lineChart>
      <c:catAx>
        <c:axId val="2052170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166328"/>
        <c:crosses val="autoZero"/>
        <c:auto val="1"/>
        <c:lblAlgn val="ctr"/>
        <c:lblOffset val="100"/>
        <c:noMultiLvlLbl val="0"/>
      </c:catAx>
      <c:valAx>
        <c:axId val="205216632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170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328083</xdr:colOff>
      <xdr:row>60</xdr:row>
      <xdr:rowOff>63500</xdr:rowOff>
    </xdr:from>
    <xdr:to>
      <xdr:col>6</xdr:col>
      <xdr:colOff>698500</xdr:colOff>
      <xdr:row>61</xdr:row>
      <xdr:rowOff>306917</xdr:rowOff>
    </xdr:to>
    <xdr:sp macro="" textlink="">
      <xdr:nvSpPr>
        <xdr:cNvPr id="2" name="Flecha doblada 1">
          <a:extLst>
            <a:ext uri="{FF2B5EF4-FFF2-40B4-BE49-F238E27FC236}">
              <a16:creationId xmlns:a16="http://schemas.microsoft.com/office/drawing/2014/main" id="{00000000-0008-0000-0200-000002000000}"/>
            </a:ext>
          </a:extLst>
        </xdr:cNvPr>
        <xdr:cNvSpPr/>
      </xdr:nvSpPr>
      <xdr:spPr>
        <a:xfrm rot="10800000">
          <a:off x="6117166" y="12319000"/>
          <a:ext cx="370417" cy="433917"/>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A"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xdr:colOff>
      <xdr:row>1</xdr:row>
      <xdr:rowOff>0</xdr:rowOff>
    </xdr:from>
    <xdr:to>
      <xdr:col>15</xdr:col>
      <xdr:colOff>457200</xdr:colOff>
      <xdr:row>15</xdr:row>
      <xdr:rowOff>76200</xdr:rowOff>
    </xdr:to>
    <xdr:graphicFrame macro="">
      <xdr:nvGraphicFramePr>
        <xdr:cNvPr id="8" name="Gráfico 1">
          <a:extLst>
            <a:ext uri="{FF2B5EF4-FFF2-40B4-BE49-F238E27FC236}">
              <a16:creationId xmlns:a16="http://schemas.microsoft.com/office/drawing/2014/main" id="{60E8B0B6-209C-CA34-0064-33BFEB61DA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6e06247e82a0945/2024_SSINGEI_PA/2024_02INV_PA/2024_IGEI_04UT/2024_DA_04UT/2024_DA_OT_RAW_04/Panam&#225;-%20Consumo%20de%20Le&#241;a%20a&#241;os%202020%20a%202022.xlsx" TargetMode="External"/><Relationship Id="rId1" Type="http://schemas.openxmlformats.org/officeDocument/2006/relationships/externalLinkPath" Target="2024_DA_OT_RAW_04/Panam&#225;-%20Consumo%20de%20Le&#241;a%20a&#241;os%202020%20a%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n%20de%20madera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n%20de%20madera_201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d.docs.live.net/a6e06247e82a0945/2024_SSINGEI_PA/2024_02INV_PA/2024_IGEI_04UT/2024_DA_04UT/2024_DA_OT_RAW_04/VOLUMENES_APROVECHAMIENTO_2020_2021.xlsx" TargetMode="External"/><Relationship Id="rId1" Type="http://schemas.openxmlformats.org/officeDocument/2006/relationships/externalLinkPath" Target="2024_DA_OT_RAW_04/VOLUMENES_APROVECHAMIENTO_2020_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_DA_OT_RAW_04/2022_DA_EST_04UT.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ybcastillo\Downloads\Datos%20procesados_Oct._2023.xlsx" TargetMode="External"/><Relationship Id="rId1" Type="http://schemas.openxmlformats.org/officeDocument/2006/relationships/externalLinkPath" Target="file:///C:\Users\ybcastillo\Downloads\Datos%20procesados_Oct._202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d.docs.live.net/a6e06247e82a0945/2024_SSINGEI_PA/2024_02INV_PA/2024_IGEI_04UT/2024_DA_04UT/2024_DA_OT_RAW_04/2024_DA_OT_RAW_04_Incendios/Datos%20procesados_Oct._2023.xlsx" TargetMode="External"/><Relationship Id="rId1" Type="http://schemas.openxmlformats.org/officeDocument/2006/relationships/externalLinkPath" Target="2024_DA_OT_RAW_04/2024_DA_OT_RAW_04_Incendios/Datos%20procesados_Oct._202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d.docs.live.net/a6e06247e82a0945/2024_SSINGEI_PA/2024_02INV_PA/2024_IGEI_04UT/2024_DA_04UT/2024_DA_OT_RAW_04/Datos%20INGEI%202024.xlsx" TargetMode="External"/><Relationship Id="rId1" Type="http://schemas.openxmlformats.org/officeDocument/2006/relationships/externalLinkPath" Target="2024_DA_OT_RAW_04/Datos%20INGE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a6e06247e82a0945" itemId="a6e06247e82a0945!6231">
      <xxl21:absoluteUrl r:id="rId2"/>
    </xxl21:alternateUrls>
    <sheetNames>
      <sheetName val="Hoja1"/>
    </sheetNames>
    <sheetDataSet>
      <sheetData sheetId="0">
        <row r="9">
          <cell r="C9">
            <v>570278.64567133691</v>
          </cell>
        </row>
        <row r="10">
          <cell r="C10">
            <v>566756.93958505709</v>
          </cell>
        </row>
        <row r="11">
          <cell r="C11">
            <v>563264.33952021273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originales"/>
      <sheetName val="Procesamiento"/>
      <sheetName val="B. Narural"/>
      <sheetName val="Plantaciones"/>
      <sheetName val="Resumen"/>
    </sheetNames>
    <sheetDataSet>
      <sheetData sheetId="0"/>
      <sheetData sheetId="1"/>
      <sheetData sheetId="2"/>
      <sheetData sheetId="3">
        <row r="46">
          <cell r="E46">
            <v>10842.893099999998</v>
          </cell>
        </row>
        <row r="47">
          <cell r="E47">
            <v>58008.22540000001</v>
          </cell>
        </row>
        <row r="48">
          <cell r="E48">
            <v>33181.305099999969</v>
          </cell>
        </row>
      </sheetData>
      <sheetData sheetId="4">
        <row r="5">
          <cell r="C5">
            <v>13118.601174200006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Originales-2019"/>
      <sheetName val="D. Ordenados"/>
      <sheetName val="PLANDADO"/>
      <sheetName val="OTROS"/>
      <sheetName val="RALEO"/>
      <sheetName val="REGEN- NATURAL"/>
      <sheetName val="DOMESTICO"/>
      <sheetName val="SUBSISTENCIA"/>
      <sheetName val="TALA PODA-NECESARIA"/>
      <sheetName val="B. Natural"/>
      <sheetName val="Plantaciones"/>
      <sheetName val="Resumen"/>
    </sheetNames>
    <sheetDataSet>
      <sheetData sheetId="0"/>
      <sheetData sheetId="1"/>
      <sheetData sheetId="2"/>
      <sheetData sheetId="3"/>
      <sheetData sheetId="4"/>
      <sheetData sheetId="5"/>
      <sheetData sheetId="6"/>
      <sheetData sheetId="7"/>
      <sheetData sheetId="8"/>
      <sheetData sheetId="9">
        <row r="11">
          <cell r="C11">
            <v>3663.3856000000023</v>
          </cell>
        </row>
      </sheetData>
      <sheetData sheetId="10">
        <row r="43">
          <cell r="D43">
            <v>24106.224960800006</v>
          </cell>
        </row>
        <row r="44">
          <cell r="D44">
            <v>105233.24062</v>
          </cell>
        </row>
        <row r="45">
          <cell r="D45">
            <v>38575.093443060017</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a6e06247e82a0945" itemId="a6e06247e82a0945!7202">
      <xxl21:absoluteUrl r:id="rId2"/>
    </xxl21:alternateUrls>
    <sheetNames>
      <sheetName val="2020 Bosque Naturales"/>
      <sheetName val="2020 Plantaciones "/>
      <sheetName val="2021 Bosque Naturales "/>
      <sheetName val="2021 Plantaciones "/>
      <sheetName val="2020"/>
      <sheetName val="2021"/>
      <sheetName val="2022"/>
    </sheetNames>
    <sheetDataSet>
      <sheetData sheetId="0"/>
      <sheetData sheetId="1"/>
      <sheetData sheetId="2"/>
      <sheetData sheetId="3"/>
      <sheetData sheetId="4">
        <row r="4">
          <cell r="C4">
            <v>8193.628399999996</v>
          </cell>
        </row>
        <row r="5">
          <cell r="C5">
            <v>12573.843800000001</v>
          </cell>
        </row>
        <row r="6">
          <cell r="C6">
            <v>1798.5053</v>
          </cell>
        </row>
      </sheetData>
      <sheetData sheetId="5">
        <row r="4">
          <cell r="D4">
            <v>19706.651199999986</v>
          </cell>
        </row>
        <row r="5">
          <cell r="D5">
            <v>28778.042099999999</v>
          </cell>
        </row>
        <row r="6">
          <cell r="D6">
            <v>8589.8852000000006</v>
          </cell>
        </row>
      </sheetData>
      <sheetData sheetId="6">
        <row r="4">
          <cell r="D4">
            <v>46734.03</v>
          </cell>
        </row>
        <row r="5">
          <cell r="D5">
            <v>27577.74</v>
          </cell>
        </row>
        <row r="6">
          <cell r="D6">
            <v>5265.59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LEÑA"/>
      <sheetName val="Madera Plant"/>
      <sheetName val="Madera Bosque Natural"/>
      <sheetName val="Incendios"/>
    </sheetNames>
    <sheetDataSet>
      <sheetData sheetId="0"/>
      <sheetData sheetId="1"/>
      <sheetData sheetId="2"/>
      <sheetData sheetId="3"/>
      <sheetData sheetId="4">
        <row r="6">
          <cell r="I6">
            <v>375.94823975999998</v>
          </cell>
        </row>
        <row r="7">
          <cell r="I7">
            <v>241.18513540000012</v>
          </cell>
        </row>
        <row r="8">
          <cell r="I8">
            <v>367.20652410000025</v>
          </cell>
        </row>
        <row r="9">
          <cell r="I9">
            <v>605.24905969999998</v>
          </cell>
        </row>
        <row r="10">
          <cell r="I10">
            <v>530.20000000000005</v>
          </cell>
        </row>
        <row r="11">
          <cell r="I11">
            <v>352.32</v>
          </cell>
        </row>
        <row r="12">
          <cell r="I12">
            <v>192.1</v>
          </cell>
          <cell r="J12">
            <v>1720.3</v>
          </cell>
        </row>
        <row r="13">
          <cell r="I13">
            <v>160.4</v>
          </cell>
          <cell r="J13">
            <v>2129.9499999999998</v>
          </cell>
        </row>
        <row r="14">
          <cell r="I14">
            <v>704.4</v>
          </cell>
          <cell r="J14">
            <v>1852.01</v>
          </cell>
        </row>
        <row r="15">
          <cell r="I15">
            <v>1250.5</v>
          </cell>
          <cell r="J15">
            <v>4761.8500000000004</v>
          </cell>
        </row>
        <row r="16">
          <cell r="I16">
            <v>807.98</v>
          </cell>
          <cell r="J16">
            <v>6256.2800000000007</v>
          </cell>
        </row>
        <row r="17">
          <cell r="I17">
            <v>1543.8</v>
          </cell>
          <cell r="J17">
            <v>2898.9</v>
          </cell>
        </row>
        <row r="18">
          <cell r="I18">
            <v>1629.25</v>
          </cell>
          <cell r="J18">
            <v>4560.88</v>
          </cell>
        </row>
        <row r="19">
          <cell r="I19">
            <v>280.01</v>
          </cell>
          <cell r="J19">
            <v>6178.3099999999995</v>
          </cell>
        </row>
        <row r="20">
          <cell r="I20">
            <v>177.14</v>
          </cell>
          <cell r="J20">
            <v>2478.98</v>
          </cell>
        </row>
        <row r="21">
          <cell r="I21">
            <v>522.34</v>
          </cell>
          <cell r="J21">
            <v>2844.0299999999997</v>
          </cell>
        </row>
        <row r="22">
          <cell r="I22">
            <v>91.75</v>
          </cell>
          <cell r="J22">
            <v>1570.5900000000001</v>
          </cell>
        </row>
        <row r="23">
          <cell r="I23">
            <v>65.099999999999994</v>
          </cell>
          <cell r="J23">
            <v>1601.15</v>
          </cell>
        </row>
        <row r="24">
          <cell r="I24">
            <v>156.12</v>
          </cell>
          <cell r="J24">
            <v>1211.6799999999998</v>
          </cell>
        </row>
        <row r="25">
          <cell r="I25">
            <v>1185.55</v>
          </cell>
          <cell r="J25">
            <v>1611.68</v>
          </cell>
        </row>
        <row r="26">
          <cell r="I26">
            <v>301.31</v>
          </cell>
          <cell r="J26">
            <v>2915.4300000000003</v>
          </cell>
        </row>
        <row r="27">
          <cell r="I27">
            <v>783.14</v>
          </cell>
          <cell r="J27">
            <v>17099.22</v>
          </cell>
        </row>
        <row r="28">
          <cell r="I28">
            <v>2618.79</v>
          </cell>
          <cell r="J28">
            <v>36901.300000000003</v>
          </cell>
        </row>
        <row r="29">
          <cell r="I29">
            <v>171.30799999999999</v>
          </cell>
          <cell r="J29">
            <v>6993.37</v>
          </cell>
        </row>
        <row r="30">
          <cell r="I30">
            <v>322.97000000000003</v>
          </cell>
          <cell r="J30">
            <v>5854.32</v>
          </cell>
        </row>
        <row r="31">
          <cell r="I31">
            <v>786.95</v>
          </cell>
          <cell r="J31">
            <v>45320.84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cendios-2020"/>
      <sheetName val="Incendios-2021"/>
      <sheetName val="Quemas-2020"/>
      <sheetName val="Quemas-2021"/>
    </sheetNames>
    <sheetDataSet>
      <sheetData sheetId="0">
        <row r="22">
          <cell r="C22">
            <v>343</v>
          </cell>
        </row>
        <row r="28">
          <cell r="F28">
            <v>0.7</v>
          </cell>
          <cell r="G28">
            <v>140.11000000000001</v>
          </cell>
          <cell r="H28">
            <v>327</v>
          </cell>
          <cell r="I28">
            <v>3.98</v>
          </cell>
          <cell r="J28">
            <v>212.51000000000002</v>
          </cell>
          <cell r="K28">
            <v>69.745999999999995</v>
          </cell>
          <cell r="L28">
            <v>2690.2349999999997</v>
          </cell>
        </row>
      </sheetData>
      <sheetData sheetId="1">
        <row r="22">
          <cell r="C22">
            <v>771</v>
          </cell>
        </row>
        <row r="29">
          <cell r="F29">
            <v>17.100000000000001</v>
          </cell>
          <cell r="G29">
            <v>270.89</v>
          </cell>
          <cell r="H29">
            <v>347.17</v>
          </cell>
          <cell r="I29">
            <v>0</v>
          </cell>
          <cell r="J29">
            <v>135.94999999999999</v>
          </cell>
          <cell r="K29">
            <v>616.78</v>
          </cell>
          <cell r="L29">
            <v>2229.6464999999998</v>
          </cell>
        </row>
      </sheetData>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a6e06247e82a0945" itemId="a6e06247e82a0945!7104">
      <xxl21:absoluteUrl r:id="rId2"/>
    </xxl21:alternateUrls>
    <sheetNames>
      <sheetName val="Incendios-2020"/>
      <sheetName val="Incendios-2021"/>
      <sheetName val="Quemas-2020"/>
      <sheetName val="Quemas-2021"/>
      <sheetName val="Incendios-2022"/>
    </sheetNames>
    <sheetDataSet>
      <sheetData sheetId="0"/>
      <sheetData sheetId="1"/>
      <sheetData sheetId="2"/>
      <sheetData sheetId="3"/>
      <sheetData sheetId="4">
        <row r="22">
          <cell r="C22">
            <v>927</v>
          </cell>
        </row>
        <row r="29">
          <cell r="F29">
            <v>153.24</v>
          </cell>
          <cell r="G29">
            <v>391.34000000000003</v>
          </cell>
          <cell r="H29">
            <v>1362.4190000000001</v>
          </cell>
          <cell r="I29">
            <v>18.420000000000002</v>
          </cell>
          <cell r="J29">
            <v>190.17</v>
          </cell>
          <cell r="K29">
            <v>754.99000000000012</v>
          </cell>
          <cell r="L29">
            <v>6114.6130000000003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a6e06247e82a0945" itemId="a6e06247e82a0945!7770">
      <xxl21:absoluteUrl r:id="rId2"/>
    </xxl21:alternateUrls>
    <sheetNames>
      <sheetName val="DA_RAgrícolas"/>
      <sheetName val="Hoja1"/>
    </sheetNames>
    <sheetDataSet>
      <sheetData sheetId="0">
        <row r="23">
          <cell r="H23">
            <v>22783</v>
          </cell>
          <cell r="I23">
            <v>22896</v>
          </cell>
          <cell r="J23">
            <v>20914</v>
          </cell>
          <cell r="K23">
            <v>22205</v>
          </cell>
          <cell r="L23">
            <v>21128</v>
          </cell>
          <cell r="M23">
            <v>20118</v>
          </cell>
          <cell r="N23">
            <v>21700</v>
          </cell>
          <cell r="O23">
            <v>21700</v>
          </cell>
          <cell r="P23">
            <v>20121</v>
          </cell>
          <cell r="Q23">
            <v>16408</v>
          </cell>
          <cell r="R23">
            <v>15603</v>
          </cell>
          <cell r="S23">
            <v>19115</v>
          </cell>
          <cell r="T23">
            <v>18320</v>
          </cell>
          <cell r="U23">
            <v>18983</v>
          </cell>
        </row>
      </sheetData>
      <sheetData sheetId="1"/>
    </sheetDataSet>
  </externalBook>
</externalLink>
</file>

<file path=xl/persons/person.xml><?xml version="1.0" encoding="utf-8"?>
<personList xmlns="http://schemas.microsoft.com/office/spreadsheetml/2018/threadedcomments" xmlns:x="http://schemas.openxmlformats.org/spreadsheetml/2006/main">
  <person displayName="UTCUTS Panamá" id="{BD739473-C0E2-4166-AEE7-BC0D17EC8A22}" userId="3e0c853f31658fa7"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4" dT="2024-02-06T18:05:58.30" personId="{BD739473-C0E2-4166-AEE7-BC0D17EC8A22}" id="{7485C39B-C012-42A5-A44F-463B58BE6634}">
    <text>Datos provenientes del MIDA cierre agrícola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mida.gob.pa/wp-content/uploads/2021/08/2014-2015-CIERRE.pdf?csrt=1862935888133035112" TargetMode="External"/><Relationship Id="rId3" Type="http://schemas.openxmlformats.org/officeDocument/2006/relationships/hyperlink" Target="https://mida.gob.pa/wp-content/uploads/2022/11/CIERRE-2021-2022-ultimo-23-11.pdf" TargetMode="External"/><Relationship Id="rId7" Type="http://schemas.openxmlformats.org/officeDocument/2006/relationships/hyperlink" Target="https://mida.gob.pa/wp-content/uploads/2021/08/2015-2016-CIERRE.pdf" TargetMode="External"/><Relationship Id="rId2" Type="http://schemas.openxmlformats.org/officeDocument/2006/relationships/hyperlink" Target="https://mida.gob.pa/wp-content/uploads/2020/05/Cierre-Agr%C3%ADcola-2017-2018-1.pdf?csrt=937283186709382676" TargetMode="External"/><Relationship Id="rId1" Type="http://schemas.openxmlformats.org/officeDocument/2006/relationships/hyperlink" Target="https://mida.gob.pa/wp-content/uploads/2021/08/2016-2017-CIERRE.pdf" TargetMode="External"/><Relationship Id="rId6" Type="http://schemas.openxmlformats.org/officeDocument/2006/relationships/hyperlink" Target="https://mida.gob.pa/wp-content/uploads/2020/05/Cierre-Agr%C3%ADcola-2018-2019-2.pdf?csrt=6419987190275554775" TargetMode="External"/><Relationship Id="rId11" Type="http://schemas.microsoft.com/office/2017/10/relationships/threadedComment" Target="../threadedComments/threadedComment1.xml"/><Relationship Id="rId5" Type="http://schemas.openxmlformats.org/officeDocument/2006/relationships/hyperlink" Target="https://mida.gob.pa/wp-content/uploads/2021/08/CierreAgricola2019-2020.pdf" TargetMode="External"/><Relationship Id="rId10" Type="http://schemas.openxmlformats.org/officeDocument/2006/relationships/comments" Target="../comments2.xml"/><Relationship Id="rId4" Type="http://schemas.openxmlformats.org/officeDocument/2006/relationships/hyperlink" Target="https://mida.gob.pa/wp-content/uploads/2021/10/CIERREAGRICOLA2020-2021-modificado.pdf" TargetMode="External"/><Relationship Id="rId9"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hyperlink" Target="https://1drv.ms/x/s!AspZ1751xOFwiCm9ain7w73aTSec?e=nXNxm1" TargetMode="External"/><Relationship Id="rId2" Type="http://schemas.openxmlformats.org/officeDocument/2006/relationships/hyperlink" Target="https://1drv.ms/x/s!AspZ1751xOFwiAUNgS82iaed0lUP?e=vhajvq" TargetMode="External"/><Relationship Id="rId1" Type="http://schemas.openxmlformats.org/officeDocument/2006/relationships/hyperlink" Target="https://1drv.ms/x/s!AspZ1751xOFwiAQoLEN_q_GJSqBE?e=CbUlxz" TargetMode="External"/><Relationship Id="rId4" Type="http://schemas.openxmlformats.org/officeDocument/2006/relationships/hyperlink" Target="mailto:ybcastillo@miambiente.gob.p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1drv.ms/x/s!AspZ1751xOFwh25NcZ2egA6ZKRun?e=dOjlib" TargetMode="External"/><Relationship Id="rId1" Type="http://schemas.openxmlformats.org/officeDocument/2006/relationships/hyperlink" Target="https://1drv.ms/w/s!AspZ1751xOFwh2yIqnpFkMXgcoqh?e=mdJIod"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https://www.inec.gob.pa/publicaciones/Default2.aspx?ID_CATEGORIA=4&amp;ID_SUBCATEGORIA=14"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4"/>
  <sheetViews>
    <sheetView topLeftCell="A4" zoomScale="120" zoomScaleNormal="120" workbookViewId="0">
      <selection activeCell="H15" sqref="H15"/>
    </sheetView>
  </sheetViews>
  <sheetFormatPr defaultColWidth="11.42578125" defaultRowHeight="14.45"/>
  <cols>
    <col min="1" max="1" width="21.28515625" customWidth="1"/>
    <col min="3" max="3" width="16.42578125" customWidth="1"/>
    <col min="5" max="5" width="11.85546875" customWidth="1"/>
    <col min="6" max="6" width="11.5703125" customWidth="1"/>
    <col min="7" max="7" width="12.7109375" customWidth="1"/>
    <col min="8" max="8" width="18.140625" customWidth="1"/>
    <col min="9" max="9" width="21.5703125" customWidth="1"/>
  </cols>
  <sheetData>
    <row r="2" spans="1:9">
      <c r="B2" t="s">
        <v>0</v>
      </c>
      <c r="C2" t="s">
        <v>1</v>
      </c>
    </row>
    <row r="3" spans="1:9">
      <c r="B3" t="s">
        <v>2</v>
      </c>
      <c r="C3" t="s">
        <v>3</v>
      </c>
    </row>
    <row r="4" spans="1:9">
      <c r="B4" t="s">
        <v>4</v>
      </c>
      <c r="C4" t="s">
        <v>5</v>
      </c>
    </row>
    <row r="6" spans="1:9">
      <c r="B6" s="1"/>
    </row>
    <row r="8" spans="1:9" ht="31.5" customHeight="1">
      <c r="A8" s="3" t="s">
        <v>6</v>
      </c>
      <c r="B8" s="244" t="s">
        <v>7</v>
      </c>
      <c r="C8" s="244"/>
      <c r="D8" s="244"/>
      <c r="E8" s="244"/>
      <c r="F8" s="244"/>
      <c r="G8" s="3" t="s">
        <v>8</v>
      </c>
      <c r="H8" s="3" t="s">
        <v>9</v>
      </c>
      <c r="I8" s="12" t="s">
        <v>10</v>
      </c>
    </row>
    <row r="9" spans="1:9">
      <c r="A9" s="242" t="s">
        <v>11</v>
      </c>
      <c r="B9" s="245" t="s">
        <v>12</v>
      </c>
      <c r="C9" s="247" t="s">
        <v>13</v>
      </c>
      <c r="D9" s="249" t="s">
        <v>14</v>
      </c>
      <c r="E9" s="250"/>
      <c r="F9" s="251"/>
      <c r="I9" s="11"/>
    </row>
    <row r="10" spans="1:9">
      <c r="A10" s="242"/>
      <c r="B10" s="246"/>
      <c r="C10" s="248"/>
      <c r="D10" s="4" t="s">
        <v>0</v>
      </c>
      <c r="E10" s="4" t="s">
        <v>2</v>
      </c>
      <c r="F10" s="4" t="s">
        <v>4</v>
      </c>
    </row>
    <row r="11" spans="1:9">
      <c r="A11" s="242"/>
      <c r="B11" s="5" t="s">
        <v>15</v>
      </c>
      <c r="C11" s="5" t="s">
        <v>16</v>
      </c>
      <c r="D11" s="6">
        <v>13.5</v>
      </c>
      <c r="E11" s="7">
        <v>14.078233333333332</v>
      </c>
      <c r="F11" s="8"/>
    </row>
    <row r="12" spans="1:9">
      <c r="A12" s="242"/>
      <c r="B12" s="9" t="s">
        <v>17</v>
      </c>
      <c r="C12" s="5" t="s">
        <v>18</v>
      </c>
      <c r="D12" s="7">
        <v>14.433333333333332</v>
      </c>
      <c r="E12" s="7">
        <v>18.7</v>
      </c>
      <c r="F12" s="7">
        <v>21.5</v>
      </c>
    </row>
    <row r="13" spans="1:9">
      <c r="A13" s="242"/>
      <c r="B13" s="5" t="s">
        <v>19</v>
      </c>
      <c r="C13" s="5" t="s">
        <v>20</v>
      </c>
      <c r="D13" s="6">
        <v>12</v>
      </c>
      <c r="E13" s="6">
        <v>14.2</v>
      </c>
      <c r="F13" s="8"/>
    </row>
    <row r="14" spans="1:9">
      <c r="A14" s="242"/>
      <c r="B14" s="5" t="s">
        <v>21</v>
      </c>
      <c r="C14" s="5" t="s">
        <v>22</v>
      </c>
      <c r="D14" s="6">
        <v>15.34</v>
      </c>
      <c r="E14" s="6">
        <v>17.84</v>
      </c>
      <c r="F14" s="8"/>
    </row>
    <row r="15" spans="1:9">
      <c r="A15" s="242"/>
      <c r="B15" s="5" t="s">
        <v>23</v>
      </c>
      <c r="C15" s="5" t="s">
        <v>24</v>
      </c>
      <c r="D15" s="6">
        <v>10.35</v>
      </c>
      <c r="E15" s="6">
        <v>12.35</v>
      </c>
      <c r="F15" s="8"/>
    </row>
    <row r="16" spans="1:9">
      <c r="A16" s="242"/>
      <c r="B16" s="5" t="s">
        <v>25</v>
      </c>
      <c r="C16" s="5" t="s">
        <v>26</v>
      </c>
      <c r="D16" s="6">
        <v>10.8</v>
      </c>
      <c r="E16" s="6">
        <v>12.8</v>
      </c>
      <c r="F16" s="8"/>
    </row>
    <row r="17" spans="1:6">
      <c r="A17" s="242"/>
      <c r="B17" s="5" t="s">
        <v>27</v>
      </c>
      <c r="C17" s="5" t="s">
        <v>28</v>
      </c>
      <c r="D17" s="6">
        <v>9.56</v>
      </c>
      <c r="E17" s="6">
        <v>12.06</v>
      </c>
      <c r="F17" s="8"/>
    </row>
    <row r="18" spans="1:6">
      <c r="A18" s="242"/>
      <c r="B18" s="243" t="s">
        <v>29</v>
      </c>
      <c r="C18" s="243"/>
      <c r="D18" s="6">
        <v>8</v>
      </c>
      <c r="E18" s="6">
        <v>10.5</v>
      </c>
      <c r="F18" s="8"/>
    </row>
    <row r="19" spans="1:6">
      <c r="B19" s="10" t="s">
        <v>30</v>
      </c>
      <c r="C19" s="2"/>
      <c r="D19" s="2"/>
      <c r="E19" s="2"/>
      <c r="F19" s="2"/>
    </row>
    <row r="20" spans="1:6">
      <c r="A20" s="2"/>
      <c r="B20" s="2"/>
      <c r="C20" s="2"/>
    </row>
    <row r="21" spans="1:6">
      <c r="A21" s="2"/>
      <c r="B21" s="2"/>
      <c r="C21" s="2"/>
    </row>
    <row r="22" spans="1:6">
      <c r="A22" s="2"/>
      <c r="B22" s="2"/>
      <c r="C22" s="2"/>
    </row>
    <row r="23" spans="1:6">
      <c r="A23" s="2"/>
      <c r="B23" s="2"/>
      <c r="C23" s="2"/>
    </row>
    <row r="24" spans="1:6">
      <c r="A24" s="2"/>
      <c r="B24" s="2"/>
      <c r="C24" s="2"/>
    </row>
  </sheetData>
  <mergeCells count="6">
    <mergeCell ref="A9:A18"/>
    <mergeCell ref="B18:C18"/>
    <mergeCell ref="B8:F8"/>
    <mergeCell ref="B9:B10"/>
    <mergeCell ref="C9:C10"/>
    <mergeCell ref="D9:F9"/>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E284F-9C5E-4AE7-A505-652F778315D1}">
  <dimension ref="A2:D33"/>
  <sheetViews>
    <sheetView topLeftCell="B1" workbookViewId="0">
      <selection activeCell="B10" sqref="B10"/>
    </sheetView>
  </sheetViews>
  <sheetFormatPr defaultColWidth="8.7109375" defaultRowHeight="15"/>
  <cols>
    <col min="1" max="1" width="13.7109375" customWidth="1"/>
    <col min="3" max="3" width="19" style="209" customWidth="1"/>
    <col min="4" max="4" width="17.7109375" customWidth="1"/>
  </cols>
  <sheetData>
    <row r="2" spans="2:4">
      <c r="B2" s="221" t="s">
        <v>175</v>
      </c>
      <c r="C2" s="222" t="s">
        <v>176</v>
      </c>
      <c r="D2" s="223" t="s">
        <v>66</v>
      </c>
    </row>
    <row r="3" spans="2:4">
      <c r="B3" s="226">
        <v>2000</v>
      </c>
      <c r="C3" s="225">
        <f>[8]DA_RAgrícolas!$H$23</f>
        <v>22783</v>
      </c>
      <c r="D3" s="224" t="s">
        <v>177</v>
      </c>
    </row>
    <row r="4" spans="2:4">
      <c r="B4" s="227">
        <v>2001</v>
      </c>
      <c r="C4" s="216">
        <f>[8]DA_RAgrícolas!$I$23</f>
        <v>22896</v>
      </c>
      <c r="D4" s="224" t="s">
        <v>177</v>
      </c>
    </row>
    <row r="5" spans="2:4">
      <c r="B5" s="227">
        <v>2002</v>
      </c>
      <c r="C5" s="216">
        <f>[8]DA_RAgrícolas!$J$23</f>
        <v>20914</v>
      </c>
      <c r="D5" s="224" t="s">
        <v>177</v>
      </c>
    </row>
    <row r="6" spans="2:4">
      <c r="B6" s="227">
        <v>2003</v>
      </c>
      <c r="C6" s="216">
        <f>[8]DA_RAgrícolas!$K$23</f>
        <v>22205</v>
      </c>
      <c r="D6" s="224" t="s">
        <v>177</v>
      </c>
    </row>
    <row r="7" spans="2:4">
      <c r="B7" s="227">
        <v>2004</v>
      </c>
      <c r="C7" s="216">
        <f>[8]DA_RAgrícolas!$L$23</f>
        <v>21128</v>
      </c>
      <c r="D7" s="224" t="s">
        <v>177</v>
      </c>
    </row>
    <row r="8" spans="2:4">
      <c r="B8" s="227">
        <v>2005</v>
      </c>
      <c r="C8" s="216">
        <f>[8]DA_RAgrícolas!$M$23</f>
        <v>20118</v>
      </c>
      <c r="D8" s="224" t="s">
        <v>177</v>
      </c>
    </row>
    <row r="9" spans="2:4">
      <c r="B9" s="227">
        <v>2006</v>
      </c>
      <c r="C9" s="216">
        <f>[8]DA_RAgrícolas!$N$23</f>
        <v>21700</v>
      </c>
      <c r="D9" s="224" t="s">
        <v>177</v>
      </c>
    </row>
    <row r="10" spans="2:4">
      <c r="B10" s="227">
        <v>2007</v>
      </c>
      <c r="C10" s="216">
        <f>[8]DA_RAgrícolas!$O$23</f>
        <v>21700</v>
      </c>
      <c r="D10" s="224" t="s">
        <v>177</v>
      </c>
    </row>
    <row r="11" spans="2:4">
      <c r="B11" s="227">
        <v>2008</v>
      </c>
      <c r="C11" s="216">
        <f>[8]DA_RAgrícolas!$P$23</f>
        <v>20121</v>
      </c>
      <c r="D11" s="224" t="s">
        <v>177</v>
      </c>
    </row>
    <row r="12" spans="2:4">
      <c r="B12" s="227">
        <v>2009</v>
      </c>
      <c r="C12" s="216">
        <f>[8]DA_RAgrícolas!$Q$23</f>
        <v>16408</v>
      </c>
      <c r="D12" s="224" t="s">
        <v>177</v>
      </c>
    </row>
    <row r="13" spans="2:4">
      <c r="B13" s="227">
        <v>2010</v>
      </c>
      <c r="C13" s="216">
        <f>[8]DA_RAgrícolas!$R$23</f>
        <v>15603</v>
      </c>
      <c r="D13" s="224" t="s">
        <v>177</v>
      </c>
    </row>
    <row r="14" spans="2:4">
      <c r="B14" s="227">
        <v>2011</v>
      </c>
      <c r="C14" s="216">
        <f>[8]DA_RAgrícolas!$S$23</f>
        <v>19115</v>
      </c>
      <c r="D14" s="224" t="s">
        <v>177</v>
      </c>
    </row>
    <row r="15" spans="2:4">
      <c r="B15" s="227">
        <v>2012</v>
      </c>
      <c r="C15" s="216">
        <f>[8]DA_RAgrícolas!$T$23</f>
        <v>18320</v>
      </c>
      <c r="D15" s="224" t="s">
        <v>177</v>
      </c>
    </row>
    <row r="16" spans="2:4">
      <c r="B16" s="227">
        <v>2013</v>
      </c>
      <c r="C16" s="216">
        <f>[8]DA_RAgrícolas!$U$23</f>
        <v>18983</v>
      </c>
      <c r="D16" s="224" t="s">
        <v>177</v>
      </c>
    </row>
    <row r="17" spans="1:4">
      <c r="B17" s="227">
        <v>2014</v>
      </c>
      <c r="C17" s="216">
        <f>5645+9046</f>
        <v>14691</v>
      </c>
      <c r="D17" s="229" t="s">
        <v>178</v>
      </c>
    </row>
    <row r="18" spans="1:4">
      <c r="B18" s="227">
        <v>2015</v>
      </c>
      <c r="C18" s="216">
        <f>10133+5600</f>
        <v>15733</v>
      </c>
      <c r="D18" s="229" t="s">
        <v>179</v>
      </c>
    </row>
    <row r="19" spans="1:4">
      <c r="B19" s="227">
        <v>2016</v>
      </c>
      <c r="C19" s="216">
        <f>10688+6045</f>
        <v>16733</v>
      </c>
      <c r="D19" s="219" t="s">
        <v>180</v>
      </c>
    </row>
    <row r="20" spans="1:4">
      <c r="B20" s="227">
        <v>2017</v>
      </c>
      <c r="C20" s="216">
        <f>10694+6004</f>
        <v>16698</v>
      </c>
      <c r="D20" s="219" t="s">
        <v>181</v>
      </c>
    </row>
    <row r="21" spans="1:4">
      <c r="B21" s="227">
        <v>2018</v>
      </c>
      <c r="C21" s="216">
        <f>10402+6291</f>
        <v>16693</v>
      </c>
      <c r="D21" s="228" t="s">
        <v>182</v>
      </c>
    </row>
    <row r="22" spans="1:4">
      <c r="B22" s="227">
        <v>2019</v>
      </c>
      <c r="C22" s="216">
        <f>11670+6694</f>
        <v>18364</v>
      </c>
      <c r="D22" s="219" t="s">
        <v>183</v>
      </c>
    </row>
    <row r="23" spans="1:4">
      <c r="B23" s="227">
        <v>2020</v>
      </c>
      <c r="C23" s="216">
        <f>11365+7432</f>
        <v>18797</v>
      </c>
      <c r="D23" s="218" t="s">
        <v>184</v>
      </c>
    </row>
    <row r="24" spans="1:4">
      <c r="B24" s="227">
        <v>2021</v>
      </c>
      <c r="C24" s="216">
        <f>11521+7752</f>
        <v>19273</v>
      </c>
      <c r="D24" s="218" t="s">
        <v>185</v>
      </c>
    </row>
    <row r="26" spans="1:4">
      <c r="B26" t="s">
        <v>186</v>
      </c>
      <c r="C26" s="210" t="s">
        <v>187</v>
      </c>
    </row>
    <row r="27" spans="1:4">
      <c r="A27" s="217"/>
      <c r="C27" s="210" t="s">
        <v>188</v>
      </c>
    </row>
    <row r="28" spans="1:4">
      <c r="C28" s="220" t="s">
        <v>189</v>
      </c>
    </row>
    <row r="29" spans="1:4">
      <c r="C29" s="218"/>
    </row>
    <row r="30" spans="1:4">
      <c r="C30" s="218"/>
    </row>
    <row r="31" spans="1:4">
      <c r="C31" s="219"/>
    </row>
    <row r="32" spans="1:4">
      <c r="C32" s="219"/>
    </row>
    <row r="33" spans="3:3">
      <c r="C33" s="219"/>
    </row>
  </sheetData>
  <hyperlinks>
    <hyperlink ref="D19" r:id="rId1" xr:uid="{7D81FB75-84F8-4EA5-9E66-296616DD0264}"/>
    <hyperlink ref="D20" r:id="rId2" xr:uid="{9E339CD3-8AC3-4F03-9019-276B5D5295CD}"/>
    <hyperlink ref="D24" r:id="rId3" xr:uid="{C2948040-7FB3-4A97-86FE-C7DB4C0B9147}"/>
    <hyperlink ref="D23" r:id="rId4" xr:uid="{515F6B1E-46C8-487F-A94F-39F2EC5921A6}"/>
    <hyperlink ref="D22" r:id="rId5" xr:uid="{7A39C991-595D-414A-9AF2-3DAAC8CFDA69}"/>
    <hyperlink ref="D21" r:id="rId6" xr:uid="{32E4A590-2534-433B-AC04-E9A2F9CE27E4}"/>
    <hyperlink ref="D18" r:id="rId7" xr:uid="{65BD8925-82EA-4558-9163-B0C5E04F2A1E}"/>
    <hyperlink ref="D17" r:id="rId8" xr:uid="{42ADA28F-4B26-4DC0-BF82-CBAF18F46974}"/>
  </hyperlinks>
  <pageMargins left="0.7" right="0.7" top="0.75" bottom="0.75" header="0.3" footer="0.3"/>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zoomScale="90" zoomScaleNormal="90" workbookViewId="0">
      <selection activeCell="C17" sqref="C17"/>
    </sheetView>
  </sheetViews>
  <sheetFormatPr defaultColWidth="11.42578125" defaultRowHeight="14.45"/>
  <cols>
    <col min="1" max="1" width="3.85546875" customWidth="1"/>
    <col min="2" max="2" width="24.7109375" customWidth="1"/>
    <col min="3" max="3" width="45.42578125" customWidth="1"/>
  </cols>
  <sheetData>
    <row r="2" spans="2:3" ht="21.75" customHeight="1" thickBot="1">
      <c r="B2" s="115" t="s">
        <v>31</v>
      </c>
    </row>
    <row r="3" spans="2:3" ht="29.1">
      <c r="B3" s="120" t="s">
        <v>32</v>
      </c>
      <c r="C3" s="116" t="s">
        <v>33</v>
      </c>
    </row>
    <row r="4" spans="2:3">
      <c r="B4" s="133" t="s">
        <v>34</v>
      </c>
      <c r="C4" s="65" t="s">
        <v>35</v>
      </c>
    </row>
    <row r="5" spans="2:3" ht="33.75" customHeight="1">
      <c r="B5" s="121" t="s">
        <v>36</v>
      </c>
      <c r="C5" s="117" t="s">
        <v>37</v>
      </c>
    </row>
    <row r="6" spans="2:3">
      <c r="B6" s="133" t="s">
        <v>38</v>
      </c>
      <c r="C6" s="65" t="s">
        <v>39</v>
      </c>
    </row>
    <row r="7" spans="2:3">
      <c r="B7" s="133" t="s">
        <v>40</v>
      </c>
      <c r="C7" s="118" t="s">
        <v>41</v>
      </c>
    </row>
    <row r="8" spans="2:3">
      <c r="B8" s="252" t="s">
        <v>42</v>
      </c>
      <c r="C8" s="118" t="s">
        <v>43</v>
      </c>
    </row>
    <row r="9" spans="2:3">
      <c r="B9" s="253"/>
      <c r="C9" s="119" t="s">
        <v>44</v>
      </c>
    </row>
    <row r="10" spans="2:3">
      <c r="B10" s="254"/>
      <c r="C10" s="119" t="s">
        <v>45</v>
      </c>
    </row>
    <row r="11" spans="2:3">
      <c r="B11" s="133" t="s">
        <v>46</v>
      </c>
      <c r="C11" s="65" t="s">
        <v>47</v>
      </c>
    </row>
    <row r="12" spans="2:3">
      <c r="B12" s="133" t="s">
        <v>48</v>
      </c>
      <c r="C12" s="127">
        <v>44380</v>
      </c>
    </row>
    <row r="13" spans="2:3" ht="15" thickBot="1">
      <c r="B13" s="145" t="s">
        <v>49</v>
      </c>
      <c r="C13" s="144" t="s">
        <v>50</v>
      </c>
    </row>
    <row r="15" spans="2:3" ht="17.100000000000001">
      <c r="B15" s="125"/>
      <c r="C15" s="126"/>
    </row>
  </sheetData>
  <mergeCells count="1">
    <mergeCell ref="B8:B10"/>
  </mergeCells>
  <hyperlinks>
    <hyperlink ref="C8" r:id="rId1" display="Producto 5_Fuentes DA_TF        " xr:uid="{00000000-0004-0000-0100-000000000000}"/>
    <hyperlink ref="C9" r:id="rId2" display="Producto 8: 2020_DA_EST_04UT.uv                   " xr:uid="{00000000-0004-0000-0100-000001000000}"/>
    <hyperlink ref="C10" r:id="rId3" xr:uid="{00000000-0004-0000-0100-000002000000}"/>
    <hyperlink ref="C7" r:id="rId4" xr:uid="{11DAC52B-9F3A-402F-8329-B6E8FBECA7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82"/>
  <sheetViews>
    <sheetView topLeftCell="B20" zoomScale="90" zoomScaleNormal="90" workbookViewId="0">
      <selection activeCell="I38" sqref="I38"/>
    </sheetView>
  </sheetViews>
  <sheetFormatPr defaultColWidth="11.42578125" defaultRowHeight="14.45"/>
  <cols>
    <col min="1" max="1" width="3.7109375" customWidth="1"/>
    <col min="2" max="2" width="22.42578125" customWidth="1"/>
    <col min="3" max="3" width="10.28515625" customWidth="1"/>
    <col min="4" max="9" width="16.85546875" customWidth="1"/>
  </cols>
  <sheetData>
    <row r="2" spans="2:14" ht="26.25" customHeight="1" thickBot="1">
      <c r="B2" s="308" t="s">
        <v>51</v>
      </c>
      <c r="C2" s="308"/>
      <c r="D2" s="308"/>
      <c r="E2" s="308"/>
      <c r="F2" s="308"/>
      <c r="G2" s="308"/>
      <c r="H2" s="308"/>
      <c r="I2" s="308"/>
    </row>
    <row r="3" spans="2:14" ht="16.5" customHeight="1" thickBot="1">
      <c r="B3" s="268" t="s">
        <v>52</v>
      </c>
      <c r="C3" s="268" t="s">
        <v>53</v>
      </c>
      <c r="D3" s="265" t="s">
        <v>54</v>
      </c>
      <c r="E3" s="266"/>
      <c r="F3" s="266"/>
      <c r="G3" s="266"/>
      <c r="H3" s="266"/>
      <c r="I3" s="267"/>
      <c r="K3" s="24"/>
      <c r="L3" s="25"/>
      <c r="M3" s="25"/>
      <c r="N3" s="25"/>
    </row>
    <row r="4" spans="2:14" ht="16.5" customHeight="1" thickBot="1">
      <c r="B4" s="269"/>
      <c r="C4" s="269"/>
      <c r="D4" s="265" t="s">
        <v>55</v>
      </c>
      <c r="E4" s="266"/>
      <c r="F4" s="267"/>
      <c r="G4" s="265" t="s">
        <v>56</v>
      </c>
      <c r="H4" s="266"/>
      <c r="I4" s="267"/>
      <c r="K4" s="24"/>
      <c r="L4" s="25"/>
      <c r="M4" s="25"/>
      <c r="N4" s="25"/>
    </row>
    <row r="5" spans="2:14" ht="31.5" thickBot="1">
      <c r="B5" s="269"/>
      <c r="C5" s="269"/>
      <c r="D5" s="268" t="s">
        <v>57</v>
      </c>
      <c r="E5" s="268" t="s">
        <v>58</v>
      </c>
      <c r="F5" s="310" t="s">
        <v>59</v>
      </c>
      <c r="G5" s="149" t="s">
        <v>60</v>
      </c>
      <c r="H5" s="149" t="s">
        <v>61</v>
      </c>
      <c r="I5" s="149" t="s">
        <v>62</v>
      </c>
      <c r="K5" s="24"/>
      <c r="L5" s="25"/>
      <c r="M5" s="25"/>
      <c r="N5" s="25"/>
    </row>
    <row r="6" spans="2:14" ht="22.5" customHeight="1">
      <c r="B6" s="269"/>
      <c r="C6" s="309"/>
      <c r="D6" s="309"/>
      <c r="E6" s="309"/>
      <c r="F6" s="311"/>
      <c r="G6" s="146">
        <v>0.3</v>
      </c>
      <c r="H6" s="146">
        <v>0.2</v>
      </c>
      <c r="I6" s="146">
        <v>0.5</v>
      </c>
      <c r="K6" s="31"/>
      <c r="L6" s="31"/>
      <c r="M6" s="31"/>
      <c r="N6" s="25"/>
    </row>
    <row r="7" spans="2:14" ht="15.75" customHeight="1">
      <c r="B7" s="263" t="s">
        <v>63</v>
      </c>
      <c r="C7" s="152">
        <v>1990</v>
      </c>
      <c r="D7" s="147">
        <v>2126.6</v>
      </c>
      <c r="E7" s="81">
        <f t="shared" ref="E7:E36" si="0">D7/E$56</f>
        <v>819814.9575944487</v>
      </c>
      <c r="F7" s="238">
        <f t="shared" ref="F7:F36" si="1">E7/G$60</f>
        <v>1446732.278107851</v>
      </c>
      <c r="G7" s="235">
        <f>F7*0.3</f>
        <v>434019.68343235529</v>
      </c>
      <c r="H7" s="235">
        <f>F7*0.2</f>
        <v>289346.45562157023</v>
      </c>
      <c r="I7" s="235">
        <f>F7*0.5</f>
        <v>723366.13905392552</v>
      </c>
      <c r="K7" s="24"/>
      <c r="L7" s="25"/>
      <c r="M7" s="25"/>
      <c r="N7" s="25"/>
    </row>
    <row r="8" spans="2:14">
      <c r="B8" s="264"/>
      <c r="C8" s="153">
        <v>1991</v>
      </c>
      <c r="D8" s="148">
        <v>2071.56</v>
      </c>
      <c r="E8" s="79">
        <f t="shared" si="0"/>
        <v>798596.7617579028</v>
      </c>
      <c r="F8" s="239">
        <f t="shared" si="1"/>
        <v>1409288.4031021816</v>
      </c>
      <c r="G8" s="235">
        <f t="shared" ref="G8:G35" si="2">F8*0.3</f>
        <v>422786.52093065449</v>
      </c>
      <c r="H8" s="235">
        <f t="shared" ref="H8:H35" si="3">F8*0.2</f>
        <v>281857.68062043632</v>
      </c>
      <c r="I8" s="235">
        <f t="shared" ref="I8:I35" si="4">F8*0.5</f>
        <v>704644.20155109081</v>
      </c>
      <c r="K8" s="24"/>
    </row>
    <row r="9" spans="2:14" ht="15" customHeight="1">
      <c r="B9" s="264"/>
      <c r="C9" s="153">
        <v>1992</v>
      </c>
      <c r="D9" s="148">
        <v>2019.12</v>
      </c>
      <c r="E9" s="79">
        <f t="shared" si="0"/>
        <v>778380.87895142636</v>
      </c>
      <c r="F9" s="239">
        <f t="shared" si="1"/>
        <v>1373613.3157966351</v>
      </c>
      <c r="G9" s="235">
        <f t="shared" si="2"/>
        <v>412083.9947389905</v>
      </c>
      <c r="H9" s="235">
        <f t="shared" si="3"/>
        <v>274722.66315932706</v>
      </c>
      <c r="I9" s="235">
        <f t="shared" si="4"/>
        <v>686806.65789831756</v>
      </c>
    </row>
    <row r="10" spans="2:14" ht="15" customHeight="1">
      <c r="B10" s="264"/>
      <c r="C10" s="153">
        <v>1993</v>
      </c>
      <c r="D10" s="148">
        <v>1969.03</v>
      </c>
      <c r="E10" s="79">
        <f t="shared" si="0"/>
        <v>759070.93292212801</v>
      </c>
      <c r="F10" s="239">
        <f t="shared" si="1"/>
        <v>1339536.9404508143</v>
      </c>
      <c r="G10" s="235">
        <f t="shared" si="2"/>
        <v>401861.08213524427</v>
      </c>
      <c r="H10" s="235">
        <f t="shared" si="3"/>
        <v>267907.38809016289</v>
      </c>
      <c r="I10" s="235">
        <f t="shared" si="4"/>
        <v>669768.47022540716</v>
      </c>
    </row>
    <row r="11" spans="2:14" ht="15" customHeight="1">
      <c r="B11" s="264"/>
      <c r="C11" s="153">
        <v>1994</v>
      </c>
      <c r="D11" s="148">
        <v>1921.07</v>
      </c>
      <c r="E11" s="79">
        <f t="shared" si="0"/>
        <v>740582.11256746342</v>
      </c>
      <c r="F11" s="239">
        <f t="shared" si="1"/>
        <v>1306909.6104131711</v>
      </c>
      <c r="G11" s="235">
        <f t="shared" si="2"/>
        <v>392072.88312395132</v>
      </c>
      <c r="H11" s="235">
        <f t="shared" si="3"/>
        <v>261381.92208263424</v>
      </c>
      <c r="I11" s="235">
        <f t="shared" si="4"/>
        <v>653454.80520658556</v>
      </c>
    </row>
    <row r="12" spans="2:14" ht="15" customHeight="1">
      <c r="B12" s="264"/>
      <c r="C12" s="153">
        <v>1995</v>
      </c>
      <c r="D12" s="148">
        <v>1875.03</v>
      </c>
      <c r="E12" s="79">
        <f t="shared" si="0"/>
        <v>722833.46183500381</v>
      </c>
      <c r="F12" s="239">
        <f t="shared" si="1"/>
        <v>1275588.4620617717</v>
      </c>
      <c r="G12" s="235">
        <f t="shared" si="2"/>
        <v>382676.53861853149</v>
      </c>
      <c r="H12" s="235">
        <f t="shared" si="3"/>
        <v>255117.69241235434</v>
      </c>
      <c r="I12" s="235">
        <f t="shared" si="4"/>
        <v>637794.23103088583</v>
      </c>
    </row>
    <row r="13" spans="2:14" ht="15" customHeight="1">
      <c r="B13" s="264"/>
      <c r="C13" s="153">
        <v>1996</v>
      </c>
      <c r="D13" s="148">
        <v>1830.75</v>
      </c>
      <c r="E13" s="79">
        <f t="shared" si="0"/>
        <v>705763.29992289899</v>
      </c>
      <c r="F13" s="239">
        <f t="shared" si="1"/>
        <v>1245464.6469227632</v>
      </c>
      <c r="G13" s="235">
        <f t="shared" si="2"/>
        <v>373639.39407682896</v>
      </c>
      <c r="H13" s="235">
        <f t="shared" si="3"/>
        <v>249092.92938455264</v>
      </c>
      <c r="I13" s="235">
        <f t="shared" si="4"/>
        <v>622732.3234613816</v>
      </c>
    </row>
    <row r="14" spans="2:14" ht="13.5" customHeight="1">
      <c r="B14" s="264"/>
      <c r="C14" s="153">
        <v>1997</v>
      </c>
      <c r="D14" s="148">
        <v>1788.08</v>
      </c>
      <c r="E14" s="79">
        <f t="shared" si="0"/>
        <v>689313.80107941397</v>
      </c>
      <c r="F14" s="239">
        <f t="shared" si="1"/>
        <v>1216436.1195519073</v>
      </c>
      <c r="G14" s="235">
        <f t="shared" si="2"/>
        <v>364930.83586557215</v>
      </c>
      <c r="H14" s="235">
        <f t="shared" si="3"/>
        <v>243287.22391038146</v>
      </c>
      <c r="I14" s="235">
        <f t="shared" si="4"/>
        <v>608218.05977595365</v>
      </c>
    </row>
    <row r="15" spans="2:14" ht="15" customHeight="1">
      <c r="B15" s="264"/>
      <c r="C15" s="153">
        <v>1998</v>
      </c>
      <c r="D15" s="148">
        <v>1746.89</v>
      </c>
      <c r="E15" s="79">
        <f t="shared" si="0"/>
        <v>673434.84965304553</v>
      </c>
      <c r="F15" s="239">
        <f t="shared" si="1"/>
        <v>1188414.4405641982</v>
      </c>
      <c r="G15" s="235">
        <f t="shared" si="2"/>
        <v>356524.33216925943</v>
      </c>
      <c r="H15" s="235">
        <f t="shared" si="3"/>
        <v>237682.88811283966</v>
      </c>
      <c r="I15" s="235">
        <f t="shared" si="4"/>
        <v>594207.22028209909</v>
      </c>
    </row>
    <row r="16" spans="2:14" ht="15" customHeight="1">
      <c r="B16" s="264"/>
      <c r="C16" s="153">
        <v>1999</v>
      </c>
      <c r="D16" s="148">
        <v>1706.99</v>
      </c>
      <c r="E16" s="79">
        <f t="shared" si="0"/>
        <v>658053.19969159598</v>
      </c>
      <c r="F16" s="239">
        <f t="shared" si="1"/>
        <v>1161270.3523969343</v>
      </c>
      <c r="G16" s="235">
        <f t="shared" si="2"/>
        <v>348381.10571908025</v>
      </c>
      <c r="H16" s="235">
        <f t="shared" si="3"/>
        <v>232254.07047938686</v>
      </c>
      <c r="I16" s="235">
        <f t="shared" si="4"/>
        <v>580635.17619846715</v>
      </c>
    </row>
    <row r="17" spans="2:9" ht="15" customHeight="1">
      <c r="B17" s="264"/>
      <c r="C17" s="153">
        <v>2000</v>
      </c>
      <c r="D17" s="148">
        <v>1673.44</v>
      </c>
      <c r="E17" s="79">
        <f t="shared" si="0"/>
        <v>645119.50655358518</v>
      </c>
      <c r="F17" s="239">
        <f t="shared" si="1"/>
        <v>1138446.1880357389</v>
      </c>
      <c r="G17" s="235">
        <f t="shared" si="2"/>
        <v>341533.85641072167</v>
      </c>
      <c r="H17" s="235">
        <f t="shared" si="3"/>
        <v>227689.23760714778</v>
      </c>
      <c r="I17" s="235">
        <f t="shared" si="4"/>
        <v>569223.09401786944</v>
      </c>
    </row>
    <row r="18" spans="2:9" ht="13.5" customHeight="1">
      <c r="B18" s="264"/>
      <c r="C18" s="153">
        <v>2001</v>
      </c>
      <c r="D18" s="148">
        <v>1662.16</v>
      </c>
      <c r="E18" s="79">
        <f t="shared" si="0"/>
        <v>640771.01002313034</v>
      </c>
      <c r="F18" s="239">
        <f t="shared" si="1"/>
        <v>1130772.3706290538</v>
      </c>
      <c r="G18" s="235">
        <f t="shared" si="2"/>
        <v>339231.71118871612</v>
      </c>
      <c r="H18" s="235">
        <f t="shared" si="3"/>
        <v>226154.47412581078</v>
      </c>
      <c r="I18" s="235">
        <f>F18*0.5</f>
        <v>565386.1853145269</v>
      </c>
    </row>
    <row r="19" spans="2:9" ht="15" customHeight="1">
      <c r="B19" s="264"/>
      <c r="C19" s="153">
        <v>2002</v>
      </c>
      <c r="D19" s="148">
        <v>1651</v>
      </c>
      <c r="E19" s="79">
        <f t="shared" si="0"/>
        <v>636468.77409406321</v>
      </c>
      <c r="F19" s="239">
        <f t="shared" si="1"/>
        <v>1123180.1895777588</v>
      </c>
      <c r="G19" s="235">
        <f t="shared" si="2"/>
        <v>336954.05687332765</v>
      </c>
      <c r="H19" s="235">
        <f t="shared" si="3"/>
        <v>224636.03791555177</v>
      </c>
      <c r="I19" s="235">
        <f t="shared" si="4"/>
        <v>561590.09478887939</v>
      </c>
    </row>
    <row r="20" spans="2:9" ht="13.5" customHeight="1">
      <c r="B20" s="264"/>
      <c r="C20" s="153">
        <v>2003</v>
      </c>
      <c r="D20" s="148">
        <v>1639.96</v>
      </c>
      <c r="E20" s="79">
        <f t="shared" si="0"/>
        <v>632212.79876638402</v>
      </c>
      <c r="F20" s="239">
        <f t="shared" si="1"/>
        <v>1115669.6448818543</v>
      </c>
      <c r="G20" s="235">
        <f t="shared" si="2"/>
        <v>334700.89346455625</v>
      </c>
      <c r="H20" s="235">
        <f t="shared" si="3"/>
        <v>223133.92897637087</v>
      </c>
      <c r="I20" s="235">
        <f t="shared" si="4"/>
        <v>557834.82244092715</v>
      </c>
    </row>
    <row r="21" spans="2:9" ht="15" customHeight="1">
      <c r="B21" s="264"/>
      <c r="C21" s="153">
        <v>2004</v>
      </c>
      <c r="D21" s="148">
        <v>1629.04</v>
      </c>
      <c r="E21" s="79">
        <f t="shared" si="0"/>
        <v>628003.08404009254</v>
      </c>
      <c r="F21" s="239">
        <f t="shared" si="1"/>
        <v>1108240.7365413401</v>
      </c>
      <c r="G21" s="235">
        <f t="shared" si="2"/>
        <v>332472.220962402</v>
      </c>
      <c r="H21" s="235">
        <f t="shared" si="3"/>
        <v>221648.14730826803</v>
      </c>
      <c r="I21" s="235">
        <f t="shared" si="4"/>
        <v>554120.36827067006</v>
      </c>
    </row>
    <row r="22" spans="2:9" ht="15" customHeight="1">
      <c r="B22" s="264"/>
      <c r="C22" s="153">
        <v>2005</v>
      </c>
      <c r="D22" s="148">
        <v>1618.23</v>
      </c>
      <c r="E22" s="79">
        <f t="shared" si="0"/>
        <v>623835.77486507327</v>
      </c>
      <c r="F22" s="239">
        <f t="shared" si="1"/>
        <v>1100886.6615266001</v>
      </c>
      <c r="G22" s="235">
        <f t="shared" si="2"/>
        <v>330265.99845798005</v>
      </c>
      <c r="H22" s="235">
        <f t="shared" si="3"/>
        <v>220177.33230532004</v>
      </c>
      <c r="I22" s="235">
        <f t="shared" si="4"/>
        <v>550443.33076330007</v>
      </c>
    </row>
    <row r="23" spans="2:9">
      <c r="B23" s="264"/>
      <c r="C23" s="153">
        <v>2006</v>
      </c>
      <c r="D23" s="148">
        <v>1607.55</v>
      </c>
      <c r="E23" s="79">
        <f t="shared" si="0"/>
        <v>619718.58134155744</v>
      </c>
      <c r="F23" s="239">
        <f t="shared" si="1"/>
        <v>1093621.0258968663</v>
      </c>
      <c r="G23" s="235">
        <f t="shared" si="2"/>
        <v>328086.3077690599</v>
      </c>
      <c r="H23" s="235">
        <f t="shared" si="3"/>
        <v>218724.20517937327</v>
      </c>
      <c r="I23" s="235">
        <f t="shared" si="4"/>
        <v>546810.51294843317</v>
      </c>
    </row>
    <row r="24" spans="2:9">
      <c r="B24" s="264"/>
      <c r="C24" s="153">
        <v>2007</v>
      </c>
      <c r="D24" s="148">
        <v>1596.97</v>
      </c>
      <c r="E24" s="79">
        <f t="shared" si="0"/>
        <v>615639.93831919821</v>
      </c>
      <c r="F24" s="239">
        <f t="shared" si="1"/>
        <v>1086423.4205632913</v>
      </c>
      <c r="G24" s="235">
        <f t="shared" si="2"/>
        <v>325927.02616898739</v>
      </c>
      <c r="H24" s="235">
        <f t="shared" si="3"/>
        <v>217284.68411265826</v>
      </c>
      <c r="I24" s="235">
        <f t="shared" si="4"/>
        <v>543211.71028164565</v>
      </c>
    </row>
    <row r="25" spans="2:9">
      <c r="B25" s="264"/>
      <c r="C25" s="153">
        <v>2008</v>
      </c>
      <c r="D25" s="148">
        <v>1586.51</v>
      </c>
      <c r="E25" s="79">
        <f t="shared" si="0"/>
        <v>611607.55589822668</v>
      </c>
      <c r="F25" s="239">
        <f t="shared" si="1"/>
        <v>1079307.4515851061</v>
      </c>
      <c r="G25" s="235">
        <f t="shared" si="2"/>
        <v>323792.23547553184</v>
      </c>
      <c r="H25" s="235">
        <f t="shared" si="3"/>
        <v>215861.49031702123</v>
      </c>
      <c r="I25" s="235">
        <f t="shared" si="4"/>
        <v>539653.72579255304</v>
      </c>
    </row>
    <row r="26" spans="2:9" ht="15" customHeight="1">
      <c r="B26" s="264"/>
      <c r="C26" s="153">
        <v>2009</v>
      </c>
      <c r="D26" s="148">
        <v>1576.16</v>
      </c>
      <c r="E26" s="79">
        <f t="shared" si="0"/>
        <v>607617.57902852737</v>
      </c>
      <c r="F26" s="239">
        <f t="shared" si="1"/>
        <v>1072266.3159326955</v>
      </c>
      <c r="G26" s="235">
        <f t="shared" si="2"/>
        <v>321679.89477980864</v>
      </c>
      <c r="H26" s="235">
        <f t="shared" si="3"/>
        <v>214453.26318653912</v>
      </c>
      <c r="I26" s="235">
        <f t="shared" si="4"/>
        <v>536133.15796634776</v>
      </c>
    </row>
    <row r="27" spans="2:9" ht="15" customHeight="1">
      <c r="B27" s="264"/>
      <c r="C27" s="153">
        <v>2010</v>
      </c>
      <c r="D27" s="148">
        <v>1570.22</v>
      </c>
      <c r="E27" s="79">
        <f t="shared" si="0"/>
        <v>605327.67925983039</v>
      </c>
      <c r="F27" s="239">
        <f t="shared" si="1"/>
        <v>1068225.3163408774</v>
      </c>
      <c r="G27" s="235">
        <f t="shared" si="2"/>
        <v>320467.5949022632</v>
      </c>
      <c r="H27" s="235">
        <f t="shared" si="3"/>
        <v>213645.06326817549</v>
      </c>
      <c r="I27" s="235">
        <f t="shared" si="4"/>
        <v>534112.65817043872</v>
      </c>
    </row>
    <row r="28" spans="2:9" ht="12.75" customHeight="1">
      <c r="B28" s="264"/>
      <c r="C28" s="153">
        <v>2011</v>
      </c>
      <c r="D28" s="148">
        <v>1560.41</v>
      </c>
      <c r="E28" s="79">
        <f t="shared" si="0"/>
        <v>601545.87509637629</v>
      </c>
      <c r="F28" s="239">
        <f t="shared" si="1"/>
        <v>1061551.544287723</v>
      </c>
      <c r="G28" s="235">
        <f t="shared" si="2"/>
        <v>318465.4632863169</v>
      </c>
      <c r="H28" s="235">
        <f t="shared" si="3"/>
        <v>212310.30885754462</v>
      </c>
      <c r="I28" s="235">
        <f t="shared" si="4"/>
        <v>530775.77214386151</v>
      </c>
    </row>
    <row r="29" spans="2:9">
      <c r="B29" s="264"/>
      <c r="C29" s="153">
        <v>2012</v>
      </c>
      <c r="D29" s="148">
        <v>1550.69</v>
      </c>
      <c r="E29" s="79">
        <f t="shared" si="0"/>
        <v>597798.76638396305</v>
      </c>
      <c r="F29" s="239">
        <f t="shared" si="1"/>
        <v>1054938.9995011115</v>
      </c>
      <c r="G29" s="235">
        <f t="shared" si="2"/>
        <v>316481.69985033345</v>
      </c>
      <c r="H29" s="235">
        <f t="shared" si="3"/>
        <v>210987.79990022231</v>
      </c>
      <c r="I29" s="235">
        <f t="shared" si="4"/>
        <v>527469.49975055573</v>
      </c>
    </row>
    <row r="30" spans="2:9" ht="15" customHeight="1">
      <c r="B30" s="264"/>
      <c r="C30" s="153">
        <v>2013</v>
      </c>
      <c r="D30" s="148">
        <v>1541.05</v>
      </c>
      <c r="E30" s="79">
        <f t="shared" si="0"/>
        <v>594082.49807247496</v>
      </c>
      <c r="F30" s="239">
        <f t="shared" si="1"/>
        <v>1048380.8789514266</v>
      </c>
      <c r="G30" s="235">
        <f t="shared" si="2"/>
        <v>314514.26368542796</v>
      </c>
      <c r="H30" s="235">
        <f t="shared" si="3"/>
        <v>209676.17579028534</v>
      </c>
      <c r="I30" s="235">
        <f t="shared" si="4"/>
        <v>524190.4394757133</v>
      </c>
    </row>
    <row r="31" spans="2:9">
      <c r="B31" s="264"/>
      <c r="C31" s="153">
        <v>2014</v>
      </c>
      <c r="D31" s="148">
        <v>1531.5</v>
      </c>
      <c r="E31" s="79">
        <f t="shared" si="0"/>
        <v>590400.92521202774</v>
      </c>
      <c r="F31" s="239">
        <f t="shared" si="1"/>
        <v>1041883.9856682845</v>
      </c>
      <c r="G31" s="235">
        <f t="shared" si="2"/>
        <v>312565.19570048532</v>
      </c>
      <c r="H31" s="235">
        <f t="shared" si="3"/>
        <v>208376.79713365692</v>
      </c>
      <c r="I31" s="235">
        <f t="shared" si="4"/>
        <v>520941.99283414223</v>
      </c>
    </row>
    <row r="32" spans="2:9">
      <c r="B32" s="264"/>
      <c r="C32" s="153">
        <v>2015</v>
      </c>
      <c r="D32" s="148">
        <v>1522.02</v>
      </c>
      <c r="E32" s="79">
        <f t="shared" si="0"/>
        <v>586746.33770239016</v>
      </c>
      <c r="F32" s="239">
        <f t="shared" si="1"/>
        <v>1035434.7135924534</v>
      </c>
      <c r="G32" s="235">
        <f t="shared" si="2"/>
        <v>310630.41407773603</v>
      </c>
      <c r="H32" s="235">
        <f t="shared" si="3"/>
        <v>207086.9427184907</v>
      </c>
      <c r="I32" s="235">
        <f t="shared" si="4"/>
        <v>517717.3567962267</v>
      </c>
    </row>
    <row r="33" spans="2:12">
      <c r="B33" s="264"/>
      <c r="C33" s="153">
        <v>2016</v>
      </c>
      <c r="D33" s="148">
        <v>1512.63</v>
      </c>
      <c r="E33" s="79">
        <f t="shared" si="0"/>
        <v>583126.44564379344</v>
      </c>
      <c r="F33" s="239">
        <f t="shared" si="1"/>
        <v>1029046.6687831652</v>
      </c>
      <c r="G33" s="235">
        <f t="shared" si="2"/>
        <v>308714.00063494954</v>
      </c>
      <c r="H33" s="235">
        <f t="shared" si="3"/>
        <v>205809.33375663304</v>
      </c>
      <c r="I33" s="235">
        <f t="shared" si="4"/>
        <v>514523.33439158258</v>
      </c>
    </row>
    <row r="34" spans="2:12">
      <c r="B34" s="264"/>
      <c r="C34" s="154">
        <v>2017</v>
      </c>
      <c r="D34" s="150">
        <v>1503.31</v>
      </c>
      <c r="E34" s="101">
        <f t="shared" si="0"/>
        <v>579533.53893600614</v>
      </c>
      <c r="F34" s="240">
        <f t="shared" si="1"/>
        <v>1022706.2451811875</v>
      </c>
      <c r="G34" s="236">
        <f t="shared" si="2"/>
        <v>306811.87355435622</v>
      </c>
      <c r="H34" s="235">
        <f t="shared" si="3"/>
        <v>204541.24903623751</v>
      </c>
      <c r="I34" s="235">
        <f t="shared" si="4"/>
        <v>511353.12259059376</v>
      </c>
      <c r="J34">
        <f>F34*0.3</f>
        <v>306811.87355435622</v>
      </c>
      <c r="K34">
        <f>F34*0.2</f>
        <v>204541.24903623751</v>
      </c>
      <c r="L34">
        <f>F34*0.5</f>
        <v>511353.12259059376</v>
      </c>
    </row>
    <row r="35" spans="2:12">
      <c r="B35" s="264"/>
      <c r="C35" s="155">
        <v>2018</v>
      </c>
      <c r="D35" s="151">
        <v>1494.07</v>
      </c>
      <c r="E35" s="80">
        <f t="shared" si="0"/>
        <v>575971.47262914421</v>
      </c>
      <c r="F35" s="241">
        <f t="shared" si="1"/>
        <v>1016420.2458161371</v>
      </c>
      <c r="G35" s="237">
        <f t="shared" si="2"/>
        <v>304926.07374484109</v>
      </c>
      <c r="H35" s="235">
        <f t="shared" si="3"/>
        <v>203284.04916322744</v>
      </c>
      <c r="I35" s="235">
        <f t="shared" si="4"/>
        <v>508210.12290806853</v>
      </c>
    </row>
    <row r="36" spans="2:12">
      <c r="B36" s="264"/>
      <c r="C36" s="155">
        <v>2019</v>
      </c>
      <c r="D36" s="151">
        <v>1484.8055999999999</v>
      </c>
      <c r="E36" s="80">
        <f t="shared" si="0"/>
        <v>572400</v>
      </c>
      <c r="F36" s="241">
        <f t="shared" si="1"/>
        <v>1010117.6470588237</v>
      </c>
      <c r="G36" s="237">
        <f>F36*0.3</f>
        <v>303035.29411764711</v>
      </c>
      <c r="H36" s="235">
        <f>F36*0.2</f>
        <v>202023.52941176476</v>
      </c>
      <c r="I36" s="235">
        <f>F36*0.5</f>
        <v>505058.82352941186</v>
      </c>
    </row>
    <row r="37" spans="2:12" ht="13.5" customHeight="1">
      <c r="B37" s="264"/>
      <c r="C37" s="156">
        <v>2020</v>
      </c>
      <c r="D37" s="151">
        <v>1484.8055999999999</v>
      </c>
      <c r="E37" s="80">
        <f>[1]Hoja1!$C$9</f>
        <v>570278.64567133691</v>
      </c>
      <c r="F37" s="241">
        <f t="shared" ref="F37" si="5">E37/G$60</f>
        <v>1006374.0805964771</v>
      </c>
      <c r="G37" s="237">
        <f>F37*0.3</f>
        <v>301912.22417894314</v>
      </c>
      <c r="H37" s="235">
        <f>F37*0.2</f>
        <v>201274.81611929543</v>
      </c>
      <c r="I37" s="235">
        <f>F37*0.5</f>
        <v>503187.04029823857</v>
      </c>
    </row>
    <row r="38" spans="2:12" ht="13.5" customHeight="1">
      <c r="B38" s="264"/>
      <c r="C38" s="200">
        <v>2021</v>
      </c>
      <c r="D38" s="151">
        <v>1484.8055999999999</v>
      </c>
      <c r="E38" s="80">
        <f>[1]Hoja1!$C$10</f>
        <v>566756.93958505709</v>
      </c>
      <c r="F38" s="241">
        <f t="shared" ref="F38" si="6">E38/G$60</f>
        <v>1000159.305150101</v>
      </c>
      <c r="G38" s="237">
        <f>F38*0.3</f>
        <v>300047.79154503025</v>
      </c>
      <c r="H38" s="235">
        <f>F38*0.2</f>
        <v>200031.8610300202</v>
      </c>
      <c r="I38" s="235">
        <f>F38*0.5</f>
        <v>500079.65257505048</v>
      </c>
    </row>
    <row r="39" spans="2:12" ht="13.5" customHeight="1">
      <c r="B39" s="232"/>
      <c r="C39" s="200">
        <v>2022</v>
      </c>
      <c r="D39" s="151">
        <v>1484.8055999999999</v>
      </c>
      <c r="E39" s="80">
        <f>[1]Hoja1!$C$11</f>
        <v>563264.33952021273</v>
      </c>
      <c r="F39" s="241">
        <f t="shared" ref="F39" si="7">E39/G$60</f>
        <v>993995.8932709638</v>
      </c>
      <c r="G39" s="237">
        <f>F39*0.3</f>
        <v>298198.76798128913</v>
      </c>
      <c r="H39" s="235">
        <f>F39*0.2</f>
        <v>198799.17865419277</v>
      </c>
      <c r="I39" s="235">
        <f>F39*0.5</f>
        <v>496997.9466354819</v>
      </c>
    </row>
    <row r="40" spans="2:12" ht="13.5" customHeight="1">
      <c r="B40" s="67"/>
      <c r="C40" t="s">
        <v>64</v>
      </c>
      <c r="D40" s="68"/>
      <c r="E40" s="68"/>
      <c r="F40" s="68"/>
      <c r="G40" s="68"/>
      <c r="H40" s="68"/>
      <c r="I40" s="68"/>
    </row>
    <row r="41" spans="2:12" ht="13.5" customHeight="1">
      <c r="B41" s="67"/>
      <c r="C41" t="s">
        <v>65</v>
      </c>
      <c r="D41" s="68"/>
      <c r="E41" s="68"/>
      <c r="F41" s="68"/>
      <c r="G41" s="68"/>
      <c r="H41" s="68"/>
      <c r="I41" s="68"/>
    </row>
    <row r="42" spans="2:12" ht="15" customHeight="1" thickBot="1"/>
    <row r="43" spans="2:12" ht="46.5" customHeight="1" thickBot="1">
      <c r="B43" s="270" t="s">
        <v>66</v>
      </c>
      <c r="C43" s="271"/>
      <c r="D43" s="63" t="s">
        <v>67</v>
      </c>
      <c r="E43" s="293" t="s">
        <v>68</v>
      </c>
      <c r="F43" s="294"/>
      <c r="G43" s="275" t="s">
        <v>69</v>
      </c>
      <c r="H43" s="276"/>
      <c r="I43" s="277"/>
    </row>
    <row r="44" spans="2:12" ht="15" customHeight="1" thickBot="1">
      <c r="B44" s="21"/>
      <c r="C44" s="21"/>
      <c r="D44" s="23"/>
      <c r="E44" s="22"/>
      <c r="F44" s="22"/>
      <c r="G44" s="22"/>
      <c r="H44" s="22"/>
      <c r="I44" s="22"/>
    </row>
    <row r="45" spans="2:12" ht="36.75" customHeight="1">
      <c r="B45" s="278" t="s">
        <v>70</v>
      </c>
      <c r="C45" s="279"/>
      <c r="D45" s="257" t="s">
        <v>71</v>
      </c>
      <c r="E45" s="257"/>
      <c r="F45" s="257"/>
      <c r="G45" s="257"/>
      <c r="H45" s="257"/>
      <c r="I45" s="258"/>
    </row>
    <row r="46" spans="2:12" ht="35.25" customHeight="1">
      <c r="B46" s="280"/>
      <c r="C46" s="281"/>
      <c r="D46" s="255" t="s">
        <v>72</v>
      </c>
      <c r="E46" s="255"/>
      <c r="F46" s="255"/>
      <c r="G46" s="255"/>
      <c r="H46" s="255"/>
      <c r="I46" s="256"/>
    </row>
    <row r="47" spans="2:12" ht="30.75" customHeight="1">
      <c r="B47" s="280"/>
      <c r="C47" s="281"/>
      <c r="D47" s="255" t="s">
        <v>73</v>
      </c>
      <c r="E47" s="255"/>
      <c r="F47" s="255"/>
      <c r="G47" s="255"/>
      <c r="H47" s="255"/>
      <c r="I47" s="256"/>
    </row>
    <row r="48" spans="2:12" ht="30.75" customHeight="1">
      <c r="B48" s="282"/>
      <c r="C48" s="283"/>
      <c r="D48" s="255" t="s">
        <v>74</v>
      </c>
      <c r="E48" s="255"/>
      <c r="F48" s="255"/>
      <c r="G48" s="255"/>
      <c r="H48" s="255"/>
      <c r="I48" s="256"/>
    </row>
    <row r="49" spans="2:9" ht="18" customHeight="1">
      <c r="B49" s="284"/>
      <c r="C49" s="285"/>
      <c r="D49" s="290" t="s">
        <v>75</v>
      </c>
      <c r="E49" s="291"/>
      <c r="F49" s="291"/>
      <c r="G49" s="291"/>
      <c r="H49" s="291"/>
      <c r="I49" s="292"/>
    </row>
    <row r="50" spans="2:9" ht="18" customHeight="1">
      <c r="B50" s="21"/>
      <c r="C50" s="21"/>
      <c r="D50" s="19"/>
      <c r="E50" s="19"/>
      <c r="F50" s="19"/>
      <c r="G50" s="19"/>
      <c r="H50" s="19"/>
      <c r="I50" s="19"/>
    </row>
    <row r="51" spans="2:9" ht="15" thickBot="1">
      <c r="B51" s="21"/>
      <c r="C51" s="21"/>
      <c r="D51" s="19"/>
      <c r="E51" s="19"/>
      <c r="F51" s="19"/>
      <c r="G51" s="19"/>
      <c r="H51" s="19"/>
      <c r="I51" s="19"/>
    </row>
    <row r="52" spans="2:9" ht="15" customHeight="1">
      <c r="B52" s="286" t="s">
        <v>76</v>
      </c>
      <c r="C52" s="287"/>
      <c r="D52" s="295" t="s">
        <v>77</v>
      </c>
      <c r="E52" s="296"/>
      <c r="F52" s="296"/>
      <c r="G52" s="296"/>
      <c r="H52" s="296"/>
      <c r="I52" s="297"/>
    </row>
    <row r="53" spans="2:9" ht="16.5" customHeight="1" thickBot="1">
      <c r="B53" s="288"/>
      <c r="C53" s="289"/>
      <c r="D53" s="298" t="s">
        <v>78</v>
      </c>
      <c r="E53" s="299"/>
      <c r="F53" s="299"/>
      <c r="G53" s="299"/>
      <c r="H53" s="299"/>
      <c r="I53" s="300"/>
    </row>
    <row r="54" spans="2:9" ht="18.75" customHeight="1" thickBot="1">
      <c r="B54" s="20"/>
      <c r="C54" s="20"/>
    </row>
    <row r="55" spans="2:9" ht="15" thickBot="1">
      <c r="B55" s="301" t="s">
        <v>79</v>
      </c>
      <c r="C55" s="302"/>
      <c r="D55" s="86" t="s">
        <v>80</v>
      </c>
      <c r="E55" s="87" t="s">
        <v>81</v>
      </c>
    </row>
    <row r="56" spans="2:9" ht="15" thickBot="1">
      <c r="B56" s="303"/>
      <c r="C56" s="304"/>
      <c r="D56" s="88">
        <v>1</v>
      </c>
      <c r="E56" s="85">
        <v>2.594E-3</v>
      </c>
    </row>
    <row r="57" spans="2:9" ht="17.25" customHeight="1" thickBot="1">
      <c r="B57" s="303"/>
      <c r="C57" s="305"/>
      <c r="I57" s="16"/>
    </row>
    <row r="58" spans="2:9" ht="28.5" customHeight="1" thickBot="1">
      <c r="B58" s="303"/>
      <c r="C58" s="304"/>
      <c r="D58" s="272" t="s">
        <v>82</v>
      </c>
      <c r="E58" s="273"/>
      <c r="F58" s="274" t="s">
        <v>83</v>
      </c>
      <c r="G58" s="273"/>
      <c r="H58" s="32"/>
      <c r="I58" s="16"/>
    </row>
    <row r="59" spans="2:9" ht="15.75" customHeight="1" thickBot="1">
      <c r="B59" s="303"/>
      <c r="C59" s="304"/>
      <c r="D59" s="82" t="s">
        <v>84</v>
      </c>
      <c r="E59" s="83" t="s">
        <v>58</v>
      </c>
      <c r="F59" s="84" t="s">
        <v>84</v>
      </c>
      <c r="G59" s="83" t="s">
        <v>58</v>
      </c>
      <c r="H59" s="33"/>
    </row>
    <row r="60" spans="2:9" ht="17.25" customHeight="1" thickBot="1">
      <c r="B60" s="303"/>
      <c r="C60" s="304"/>
      <c r="D60" s="82">
        <v>1</v>
      </c>
      <c r="E60" s="83">
        <v>0.75</v>
      </c>
      <c r="F60" s="84">
        <v>1</v>
      </c>
      <c r="G60" s="85">
        <v>0.56666666666666654</v>
      </c>
    </row>
    <row r="61" spans="2:9">
      <c r="B61" s="303"/>
      <c r="C61" s="305"/>
      <c r="G61" s="16"/>
    </row>
    <row r="62" spans="2:9" ht="27.75" customHeight="1" thickBot="1">
      <c r="B62" s="303"/>
      <c r="C62" s="305"/>
      <c r="D62" s="259" t="s">
        <v>85</v>
      </c>
      <c r="E62" s="259"/>
      <c r="F62" s="259"/>
      <c r="G62" s="34"/>
    </row>
    <row r="63" spans="2:9" ht="20.25" customHeight="1" thickBot="1">
      <c r="B63" s="303"/>
      <c r="C63" s="305"/>
      <c r="D63" s="260" t="s">
        <v>86</v>
      </c>
      <c r="E63" s="261"/>
      <c r="F63" s="262"/>
    </row>
    <row r="64" spans="2:9" ht="15" customHeight="1" thickBot="1">
      <c r="B64" s="303"/>
      <c r="C64" s="305"/>
      <c r="D64" s="51" t="s">
        <v>87</v>
      </c>
      <c r="E64" s="42" t="s">
        <v>88</v>
      </c>
      <c r="F64" s="37" t="s">
        <v>89</v>
      </c>
    </row>
    <row r="65" spans="2:6" ht="26.25" customHeight="1">
      <c r="B65" s="303"/>
      <c r="C65" s="305"/>
      <c r="D65" s="52" t="s">
        <v>90</v>
      </c>
      <c r="E65" s="43" t="s">
        <v>91</v>
      </c>
      <c r="F65" s="38">
        <v>0.46</v>
      </c>
    </row>
    <row r="66" spans="2:6">
      <c r="B66" s="303"/>
      <c r="C66" s="305"/>
      <c r="D66" s="53" t="s">
        <v>92</v>
      </c>
      <c r="E66" s="44" t="s">
        <v>93</v>
      </c>
      <c r="F66" s="39">
        <v>0.51</v>
      </c>
    </row>
    <row r="67" spans="2:6">
      <c r="B67" s="303"/>
      <c r="C67" s="305"/>
      <c r="D67" s="54" t="s">
        <v>94</v>
      </c>
      <c r="E67" s="45" t="s">
        <v>95</v>
      </c>
      <c r="F67" s="40">
        <v>0.62</v>
      </c>
    </row>
    <row r="68" spans="2:6">
      <c r="B68" s="303"/>
      <c r="C68" s="305"/>
      <c r="D68" s="55" t="s">
        <v>96</v>
      </c>
      <c r="E68" s="46" t="s">
        <v>97</v>
      </c>
      <c r="F68" s="41">
        <v>0.54</v>
      </c>
    </row>
    <row r="69" spans="2:6">
      <c r="B69" s="303"/>
      <c r="C69" s="305"/>
      <c r="D69" s="54" t="s">
        <v>98</v>
      </c>
      <c r="E69" s="45" t="s">
        <v>99</v>
      </c>
      <c r="F69" s="40">
        <v>0.5</v>
      </c>
    </row>
    <row r="70" spans="2:6">
      <c r="B70" s="303"/>
      <c r="C70" s="305"/>
      <c r="D70" s="55" t="s">
        <v>100</v>
      </c>
      <c r="E70" s="46" t="s">
        <v>101</v>
      </c>
      <c r="F70" s="41">
        <v>0.4</v>
      </c>
    </row>
    <row r="71" spans="2:6">
      <c r="B71" s="303"/>
      <c r="C71" s="305"/>
      <c r="D71" s="55" t="s">
        <v>102</v>
      </c>
      <c r="E71" s="46" t="s">
        <v>103</v>
      </c>
      <c r="F71" s="41">
        <v>0.66</v>
      </c>
    </row>
    <row r="72" spans="2:6">
      <c r="B72" s="303"/>
      <c r="C72" s="305"/>
      <c r="D72" s="54" t="s">
        <v>104</v>
      </c>
      <c r="E72" s="45" t="s">
        <v>105</v>
      </c>
      <c r="F72" s="41">
        <v>0.74</v>
      </c>
    </row>
    <row r="73" spans="2:6">
      <c r="B73" s="303"/>
      <c r="C73" s="305"/>
      <c r="D73" s="53" t="s">
        <v>106</v>
      </c>
      <c r="E73" s="44" t="s">
        <v>107</v>
      </c>
      <c r="F73" s="39">
        <v>0.59</v>
      </c>
    </row>
    <row r="74" spans="2:6">
      <c r="B74" s="303"/>
      <c r="C74" s="305"/>
      <c r="D74" s="53" t="s">
        <v>108</v>
      </c>
      <c r="E74" s="44" t="s">
        <v>109</v>
      </c>
      <c r="F74" s="39">
        <v>0.68</v>
      </c>
    </row>
    <row r="75" spans="2:6">
      <c r="B75" s="303"/>
      <c r="C75" s="305"/>
      <c r="D75" s="53" t="s">
        <v>110</v>
      </c>
      <c r="E75" s="44" t="s">
        <v>111</v>
      </c>
      <c r="F75" s="39">
        <v>0.54</v>
      </c>
    </row>
    <row r="76" spans="2:6" ht="15" thickBot="1">
      <c r="B76" s="303"/>
      <c r="C76" s="305"/>
      <c r="D76" s="56" t="s">
        <v>112</v>
      </c>
      <c r="E76" s="47" t="s">
        <v>113</v>
      </c>
      <c r="F76" s="48">
        <v>0.56000000000000005</v>
      </c>
    </row>
    <row r="77" spans="2:6" ht="15" thickBot="1">
      <c r="B77" s="303"/>
      <c r="C77" s="305"/>
      <c r="D77" s="51" t="s">
        <v>114</v>
      </c>
      <c r="E77" s="49"/>
      <c r="F77" s="50">
        <f>AVERAGE(F65:F76)</f>
        <v>0.56666666666666654</v>
      </c>
    </row>
    <row r="78" spans="2:6" ht="24" customHeight="1" thickBot="1">
      <c r="B78" s="306"/>
      <c r="C78" s="307"/>
      <c r="D78" s="18" t="s">
        <v>115</v>
      </c>
      <c r="E78" s="36"/>
      <c r="F78" s="36"/>
    </row>
    <row r="79" spans="2:6" ht="8.25" customHeight="1">
      <c r="B79" s="30"/>
      <c r="C79" s="58"/>
      <c r="E79" s="57"/>
      <c r="F79" s="18"/>
    </row>
    <row r="80" spans="2:6" ht="15" customHeight="1">
      <c r="D80" s="36" t="s">
        <v>116</v>
      </c>
    </row>
    <row r="81" spans="2:2" ht="15" customHeight="1"/>
    <row r="82" spans="2:2" ht="15" customHeight="1">
      <c r="B82" s="125"/>
    </row>
  </sheetData>
  <autoFilter ref="C3:C37" xr:uid="{00000000-0009-0000-0000-000002000000}"/>
  <mergeCells count="27">
    <mergeCell ref="B2:I2"/>
    <mergeCell ref="C3:C6"/>
    <mergeCell ref="F5:F6"/>
    <mergeCell ref="E5:E6"/>
    <mergeCell ref="D5:D6"/>
    <mergeCell ref="D3:I3"/>
    <mergeCell ref="D63:F63"/>
    <mergeCell ref="B7:B38"/>
    <mergeCell ref="D4:F4"/>
    <mergeCell ref="G4:I4"/>
    <mergeCell ref="B3:B6"/>
    <mergeCell ref="B43:C43"/>
    <mergeCell ref="D58:E58"/>
    <mergeCell ref="F58:G58"/>
    <mergeCell ref="G43:I43"/>
    <mergeCell ref="B45:C49"/>
    <mergeCell ref="B52:C53"/>
    <mergeCell ref="D49:I49"/>
    <mergeCell ref="E43:F43"/>
    <mergeCell ref="D52:I52"/>
    <mergeCell ref="D53:I53"/>
    <mergeCell ref="B55:C78"/>
    <mergeCell ref="D46:I46"/>
    <mergeCell ref="D47:I47"/>
    <mergeCell ref="D48:I48"/>
    <mergeCell ref="D45:I45"/>
    <mergeCell ref="D62:F62"/>
  </mergeCells>
  <hyperlinks>
    <hyperlink ref="D52:I52" r:id="rId1" display="Consultoría - Determinaccion de datos de densidades de especies forestales -Version Semi final -02.05.2020" xr:uid="{00000000-0004-0000-0200-000000000000}"/>
    <hyperlink ref="D53:I53" r:id="rId2" display="Especies usadas para leña" xr:uid="{00000000-0004-0000-0200-000001000000}"/>
  </hyperlinks>
  <pageMargins left="0.7" right="0.7" top="0.75" bottom="0.75" header="0.3" footer="0.3"/>
  <pageSetup orientation="portrait" horizontalDpi="300" verticalDpi="3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48"/>
  <sheetViews>
    <sheetView topLeftCell="A19" zoomScale="90" zoomScaleNormal="90" workbookViewId="0">
      <selection activeCell="H29" sqref="H29"/>
    </sheetView>
  </sheetViews>
  <sheetFormatPr defaultColWidth="11.42578125" defaultRowHeight="14.45"/>
  <cols>
    <col min="1" max="1" width="6" customWidth="1"/>
    <col min="2" max="2" width="22.5703125" customWidth="1"/>
    <col min="3" max="3" width="10.7109375" customWidth="1"/>
  </cols>
  <sheetData>
    <row r="2" spans="2:9" ht="40.5" customHeight="1" thickBot="1">
      <c r="B2" s="312" t="s">
        <v>117</v>
      </c>
      <c r="C2" s="312"/>
      <c r="D2" s="312"/>
      <c r="E2" s="312"/>
      <c r="F2" s="312"/>
      <c r="G2" s="312"/>
      <c r="H2" s="312"/>
    </row>
    <row r="3" spans="2:9" ht="20.25" customHeight="1" thickBot="1">
      <c r="B3" s="322" t="s">
        <v>52</v>
      </c>
      <c r="C3" s="324" t="s">
        <v>53</v>
      </c>
      <c r="D3" s="315" t="s">
        <v>118</v>
      </c>
      <c r="E3" s="264"/>
      <c r="F3" s="264"/>
      <c r="G3" s="316"/>
      <c r="H3" s="317"/>
    </row>
    <row r="4" spans="2:9" ht="32.25" customHeight="1">
      <c r="B4" s="323"/>
      <c r="C4" s="264"/>
      <c r="D4" s="95" t="s">
        <v>119</v>
      </c>
      <c r="E4" s="96" t="s">
        <v>15</v>
      </c>
      <c r="F4" s="97" t="s">
        <v>120</v>
      </c>
      <c r="G4" s="98" t="s">
        <v>121</v>
      </c>
      <c r="H4" s="99" t="s">
        <v>122</v>
      </c>
      <c r="I4" s="29"/>
    </row>
    <row r="5" spans="2:9" ht="15" customHeight="1">
      <c r="B5" s="263" t="s">
        <v>123</v>
      </c>
      <c r="C5" s="76">
        <v>1990</v>
      </c>
      <c r="D5" s="92"/>
      <c r="E5" s="93"/>
      <c r="F5" s="94"/>
      <c r="G5" s="75">
        <f t="shared" ref="G5:G32" si="0">E5+F5</f>
        <v>0</v>
      </c>
      <c r="H5" s="72">
        <f t="shared" ref="H5:H32" si="1">D5+G5</f>
        <v>0</v>
      </c>
      <c r="I5" s="29"/>
    </row>
    <row r="6" spans="2:9" ht="15" customHeight="1">
      <c r="B6" s="264"/>
      <c r="C6" s="77">
        <v>1991</v>
      </c>
      <c r="D6" s="90"/>
      <c r="E6" s="89"/>
      <c r="F6" s="91"/>
      <c r="G6" s="71">
        <f t="shared" si="0"/>
        <v>0</v>
      </c>
      <c r="H6" s="73">
        <f t="shared" si="1"/>
        <v>0</v>
      </c>
      <c r="I6" s="29"/>
    </row>
    <row r="7" spans="2:9" ht="15" customHeight="1">
      <c r="B7" s="264"/>
      <c r="C7" s="77">
        <v>1992</v>
      </c>
      <c r="D7" s="90"/>
      <c r="E7" s="89"/>
      <c r="F7" s="91"/>
      <c r="G7" s="71">
        <f t="shared" si="0"/>
        <v>0</v>
      </c>
      <c r="H7" s="73">
        <f t="shared" si="1"/>
        <v>0</v>
      </c>
      <c r="I7" s="29"/>
    </row>
    <row r="8" spans="2:9" ht="15" customHeight="1">
      <c r="B8" s="264"/>
      <c r="C8" s="77">
        <v>1993</v>
      </c>
      <c r="D8" s="90"/>
      <c r="E8" s="89"/>
      <c r="F8" s="91"/>
      <c r="G8" s="71">
        <f t="shared" si="0"/>
        <v>0</v>
      </c>
      <c r="H8" s="73">
        <f t="shared" si="1"/>
        <v>0</v>
      </c>
      <c r="I8" s="29"/>
    </row>
    <row r="9" spans="2:9" ht="15" customHeight="1">
      <c r="B9" s="264"/>
      <c r="C9" s="77">
        <v>1994</v>
      </c>
      <c r="D9" s="157"/>
      <c r="E9" s="158"/>
      <c r="F9" s="159"/>
      <c r="G9" s="71">
        <f t="shared" si="0"/>
        <v>0</v>
      </c>
      <c r="H9" s="73">
        <f t="shared" si="1"/>
        <v>0</v>
      </c>
      <c r="I9" s="24"/>
    </row>
    <row r="10" spans="2:9" ht="15" customHeight="1">
      <c r="B10" s="264"/>
      <c r="C10" s="77">
        <v>1995</v>
      </c>
      <c r="D10" s="160"/>
      <c r="E10" s="161"/>
      <c r="F10" s="162"/>
      <c r="G10" s="71">
        <f t="shared" si="0"/>
        <v>0</v>
      </c>
      <c r="H10" s="73">
        <f t="shared" si="1"/>
        <v>0</v>
      </c>
      <c r="I10" s="29"/>
    </row>
    <row r="11" spans="2:9" ht="15" customHeight="1">
      <c r="B11" s="264"/>
      <c r="C11" s="77">
        <v>1996</v>
      </c>
      <c r="D11" s="163">
        <v>462.5</v>
      </c>
      <c r="E11" s="161"/>
      <c r="F11" s="162"/>
      <c r="G11" s="71">
        <f t="shared" si="0"/>
        <v>0</v>
      </c>
      <c r="H11" s="73">
        <f t="shared" si="1"/>
        <v>462.5</v>
      </c>
    </row>
    <row r="12" spans="2:9" ht="15" customHeight="1">
      <c r="B12" s="264"/>
      <c r="C12" s="77">
        <v>1997</v>
      </c>
      <c r="D12" s="163">
        <v>462.5</v>
      </c>
      <c r="E12" s="161"/>
      <c r="F12" s="162"/>
      <c r="G12" s="71">
        <f t="shared" si="0"/>
        <v>0</v>
      </c>
      <c r="H12" s="73">
        <f t="shared" si="1"/>
        <v>462.5</v>
      </c>
    </row>
    <row r="13" spans="2:9" ht="15" customHeight="1">
      <c r="B13" s="264"/>
      <c r="C13" s="77">
        <v>1998</v>
      </c>
      <c r="D13" s="163">
        <v>462.5</v>
      </c>
      <c r="E13" s="161"/>
      <c r="F13" s="162"/>
      <c r="G13" s="71">
        <f t="shared" si="0"/>
        <v>0</v>
      </c>
      <c r="H13" s="73">
        <f t="shared" si="1"/>
        <v>462.5</v>
      </c>
    </row>
    <row r="14" spans="2:9">
      <c r="B14" s="264"/>
      <c r="C14" s="77">
        <v>1999</v>
      </c>
      <c r="D14" s="163">
        <v>462.5</v>
      </c>
      <c r="E14" s="161"/>
      <c r="F14" s="162"/>
      <c r="G14" s="71">
        <f t="shared" si="0"/>
        <v>0</v>
      </c>
      <c r="H14" s="73">
        <f t="shared" si="1"/>
        <v>462.5</v>
      </c>
    </row>
    <row r="15" spans="2:9" ht="15" customHeight="1">
      <c r="B15" s="264"/>
      <c r="C15" s="77">
        <v>2000</v>
      </c>
      <c r="D15" s="164">
        <v>462.5</v>
      </c>
      <c r="E15" s="165">
        <v>8928.92</v>
      </c>
      <c r="F15" s="162"/>
      <c r="G15" s="71">
        <f t="shared" si="0"/>
        <v>8928.92</v>
      </c>
      <c r="H15" s="73">
        <f t="shared" si="1"/>
        <v>9391.42</v>
      </c>
    </row>
    <row r="16" spans="2:9">
      <c r="B16" s="264"/>
      <c r="C16" s="77">
        <v>2001</v>
      </c>
      <c r="D16" s="163">
        <v>462.5</v>
      </c>
      <c r="E16" s="151">
        <v>19019.224000000002</v>
      </c>
      <c r="F16" s="162"/>
      <c r="G16" s="71">
        <f t="shared" si="0"/>
        <v>19019.224000000002</v>
      </c>
      <c r="H16" s="73">
        <f t="shared" si="1"/>
        <v>19481.724000000002</v>
      </c>
    </row>
    <row r="17" spans="2:9" ht="15" customHeight="1">
      <c r="B17" s="264"/>
      <c r="C17" s="77">
        <v>2002</v>
      </c>
      <c r="D17" s="163">
        <v>462.5</v>
      </c>
      <c r="E17" s="151">
        <v>21704.144000000004</v>
      </c>
      <c r="F17" s="162"/>
      <c r="G17" s="71">
        <f t="shared" si="0"/>
        <v>21704.144000000004</v>
      </c>
      <c r="H17" s="73">
        <f t="shared" si="1"/>
        <v>22166.644000000004</v>
      </c>
    </row>
    <row r="18" spans="2:9">
      <c r="B18" s="264"/>
      <c r="C18" s="77">
        <v>2003</v>
      </c>
      <c r="D18" s="163">
        <v>462.5</v>
      </c>
      <c r="E18" s="151">
        <v>52949.120000000003</v>
      </c>
      <c r="F18" s="162"/>
      <c r="G18" s="71">
        <f t="shared" si="0"/>
        <v>52949.120000000003</v>
      </c>
      <c r="H18" s="73">
        <f t="shared" si="1"/>
        <v>53411.62</v>
      </c>
      <c r="I18" s="70"/>
    </row>
    <row r="19" spans="2:9" ht="15" customHeight="1">
      <c r="B19" s="264"/>
      <c r="C19" s="77">
        <v>2004</v>
      </c>
      <c r="D19" s="166">
        <v>1014.4333333333326</v>
      </c>
      <c r="E19" s="151">
        <v>57407.33600000001</v>
      </c>
      <c r="F19" s="162"/>
      <c r="G19" s="71">
        <f t="shared" si="0"/>
        <v>57407.33600000001</v>
      </c>
      <c r="H19" s="73">
        <f t="shared" si="1"/>
        <v>58421.769333333345</v>
      </c>
    </row>
    <row r="20" spans="2:9" ht="15" customHeight="1">
      <c r="B20" s="264"/>
      <c r="C20" s="77">
        <v>2005</v>
      </c>
      <c r="D20" s="166">
        <v>2225.0270006005971</v>
      </c>
      <c r="E20" s="151">
        <v>37701.272000000004</v>
      </c>
      <c r="F20" s="162"/>
      <c r="G20" s="71">
        <f t="shared" si="0"/>
        <v>37701.272000000004</v>
      </c>
      <c r="H20" s="73">
        <f t="shared" si="1"/>
        <v>39926.2990006006</v>
      </c>
    </row>
    <row r="21" spans="2:9" ht="15" customHeight="1">
      <c r="B21" s="264"/>
      <c r="C21" s="77">
        <v>2006</v>
      </c>
      <c r="D21" s="166">
        <v>3043.2999999999975</v>
      </c>
      <c r="E21" s="151">
        <v>44741.828000000001</v>
      </c>
      <c r="F21" s="162"/>
      <c r="G21" s="71">
        <f t="shared" si="0"/>
        <v>44741.828000000001</v>
      </c>
      <c r="H21" s="73">
        <f t="shared" si="1"/>
        <v>47785.127999999997</v>
      </c>
    </row>
    <row r="22" spans="2:9">
      <c r="B22" s="264"/>
      <c r="C22" s="77">
        <v>2007</v>
      </c>
      <c r="D22" s="166">
        <v>3504.9999999999982</v>
      </c>
      <c r="E22" s="151">
        <v>53251.582333333339</v>
      </c>
      <c r="F22" s="162"/>
      <c r="G22" s="71">
        <f t="shared" si="0"/>
        <v>53251.582333333339</v>
      </c>
      <c r="H22" s="73">
        <f t="shared" si="1"/>
        <v>56756.582333333339</v>
      </c>
    </row>
    <row r="23" spans="2:9" ht="15" customHeight="1">
      <c r="B23" s="264"/>
      <c r="C23" s="77">
        <v>2008</v>
      </c>
      <c r="D23" s="166">
        <v>3966.6999999999989</v>
      </c>
      <c r="E23" s="151">
        <v>61761.33666666667</v>
      </c>
      <c r="F23" s="162"/>
      <c r="G23" s="71">
        <f t="shared" si="0"/>
        <v>61761.33666666667</v>
      </c>
      <c r="H23" s="73">
        <f t="shared" si="1"/>
        <v>65728.036666666667</v>
      </c>
    </row>
    <row r="24" spans="2:9" ht="15" customHeight="1">
      <c r="B24" s="264"/>
      <c r="C24" s="77">
        <v>2009</v>
      </c>
      <c r="D24" s="166">
        <v>4428.3999999999996</v>
      </c>
      <c r="E24" s="151">
        <v>37416.723999999995</v>
      </c>
      <c r="F24" s="167">
        <v>2071.3949564391914</v>
      </c>
      <c r="G24" s="71">
        <f t="shared" si="0"/>
        <v>39488.118956439183</v>
      </c>
      <c r="H24" s="73">
        <f t="shared" si="1"/>
        <v>43916.518956439184</v>
      </c>
    </row>
    <row r="25" spans="2:9">
      <c r="B25" s="264"/>
      <c r="C25" s="77">
        <v>2010</v>
      </c>
      <c r="D25" s="168">
        <v>4890.1000000000004</v>
      </c>
      <c r="E25" s="165">
        <v>70271.091</v>
      </c>
      <c r="F25" s="167">
        <v>2106.9872515327233</v>
      </c>
      <c r="G25" s="71">
        <f t="shared" si="0"/>
        <v>72378.07825153273</v>
      </c>
      <c r="H25" s="73">
        <f t="shared" si="1"/>
        <v>77268.178251532736</v>
      </c>
    </row>
    <row r="26" spans="2:9" ht="15" customHeight="1">
      <c r="B26" s="264"/>
      <c r="C26" s="77">
        <v>2011</v>
      </c>
      <c r="D26" s="166">
        <v>4439.5</v>
      </c>
      <c r="E26" s="151">
        <v>111772.952</v>
      </c>
      <c r="F26" s="167">
        <v>898.69365505049609</v>
      </c>
      <c r="G26" s="71">
        <f t="shared" si="0"/>
        <v>112671.6456550505</v>
      </c>
      <c r="H26" s="73">
        <f t="shared" si="1"/>
        <v>117111.1456550505</v>
      </c>
    </row>
    <row r="27" spans="2:9">
      <c r="B27" s="264"/>
      <c r="C27" s="77">
        <v>2012</v>
      </c>
      <c r="D27" s="166">
        <v>3359.4</v>
      </c>
      <c r="E27" s="151">
        <v>124124.92200000001</v>
      </c>
      <c r="F27" s="167">
        <v>3932.133459354618</v>
      </c>
      <c r="G27" s="71">
        <f t="shared" si="0"/>
        <v>128057.05545935463</v>
      </c>
      <c r="H27" s="73">
        <f t="shared" si="1"/>
        <v>131416.45545935462</v>
      </c>
    </row>
    <row r="28" spans="2:9">
      <c r="B28" s="264"/>
      <c r="C28" s="77">
        <v>2013</v>
      </c>
      <c r="D28" s="168">
        <v>3954.9</v>
      </c>
      <c r="E28" s="165">
        <v>106559.76950000001</v>
      </c>
      <c r="F28" s="167">
        <v>4766.5891727635008</v>
      </c>
      <c r="G28" s="71">
        <f t="shared" si="0"/>
        <v>111326.35867276351</v>
      </c>
      <c r="H28" s="73">
        <f t="shared" si="1"/>
        <v>115281.25867276351</v>
      </c>
    </row>
    <row r="29" spans="2:9" ht="15" customHeight="1">
      <c r="B29" s="264"/>
      <c r="C29" s="77">
        <v>2014</v>
      </c>
      <c r="D29" s="166">
        <v>4618.16</v>
      </c>
      <c r="E29" s="151">
        <v>98579.915199999989</v>
      </c>
      <c r="F29" s="167">
        <v>3758.310978946859</v>
      </c>
      <c r="G29" s="71">
        <f t="shared" si="0"/>
        <v>102338.22617894685</v>
      </c>
      <c r="H29" s="73">
        <f t="shared" si="1"/>
        <v>106956.38617894685</v>
      </c>
    </row>
    <row r="30" spans="2:9">
      <c r="B30" s="264"/>
      <c r="C30" s="77">
        <v>2015</v>
      </c>
      <c r="D30" s="166">
        <v>3873.32</v>
      </c>
      <c r="E30" s="151">
        <v>125573.77529999999</v>
      </c>
      <c r="F30" s="167">
        <v>4359.4971202644019</v>
      </c>
      <c r="G30" s="71">
        <f t="shared" si="0"/>
        <v>129933.2724202644</v>
      </c>
      <c r="H30" s="73">
        <f t="shared" si="1"/>
        <v>133806.59242026441</v>
      </c>
    </row>
    <row r="31" spans="2:9">
      <c r="B31" s="264"/>
      <c r="C31" s="77">
        <v>2016</v>
      </c>
      <c r="D31" s="166">
        <v>3580.86</v>
      </c>
      <c r="E31" s="151">
        <v>121329.617</v>
      </c>
      <c r="F31" s="167">
        <v>2295.7590450036059</v>
      </c>
      <c r="G31" s="71">
        <f t="shared" si="0"/>
        <v>123625.37604500361</v>
      </c>
      <c r="H31" s="73">
        <f t="shared" si="1"/>
        <v>127206.23604500361</v>
      </c>
    </row>
    <row r="32" spans="2:9">
      <c r="B32" s="264"/>
      <c r="C32" s="77">
        <v>2017</v>
      </c>
      <c r="D32" s="168">
        <v>3705.54</v>
      </c>
      <c r="E32" s="165">
        <v>154023.87</v>
      </c>
      <c r="F32" s="162">
        <v>3023.6707049194247</v>
      </c>
      <c r="G32" s="71">
        <f t="shared" si="0"/>
        <v>157047.54070491943</v>
      </c>
      <c r="H32" s="73">
        <f t="shared" si="1"/>
        <v>160753.08070491944</v>
      </c>
      <c r="I32" s="69"/>
    </row>
    <row r="33" spans="2:10">
      <c r="B33" s="264"/>
      <c r="C33" s="77">
        <v>2018</v>
      </c>
      <c r="D33" s="166">
        <f>[2]Plantaciones!$E$46</f>
        <v>10842.893099999998</v>
      </c>
      <c r="E33" s="151">
        <f>[2]Plantaciones!$E$47</f>
        <v>58008.22540000001</v>
      </c>
      <c r="F33" s="167">
        <f>[2]Plantaciones!$E$48</f>
        <v>33181.305099999969</v>
      </c>
      <c r="G33" s="71">
        <f t="shared" ref="G33" si="2">E33+F33</f>
        <v>91189.530499999979</v>
      </c>
      <c r="H33" s="73">
        <f t="shared" ref="H33:H34" si="3">D33+G33</f>
        <v>102032.42359999998</v>
      </c>
    </row>
    <row r="34" spans="2:10">
      <c r="B34" s="264"/>
      <c r="C34" s="100">
        <v>2019</v>
      </c>
      <c r="D34" s="202">
        <f>[3]Plantaciones!$D$43</f>
        <v>24106.224960800006</v>
      </c>
      <c r="E34" s="231">
        <f>[3]Plantaciones!$D$44</f>
        <v>105233.24062</v>
      </c>
      <c r="F34" s="167">
        <f>[3]Plantaciones!$D$45</f>
        <v>38575.093443060017</v>
      </c>
      <c r="G34" s="71">
        <f>E34+F34</f>
        <v>143808.33406306</v>
      </c>
      <c r="H34" s="73">
        <f t="shared" si="3"/>
        <v>167914.55902386</v>
      </c>
    </row>
    <row r="35" spans="2:10">
      <c r="B35" s="264"/>
      <c r="C35" s="78">
        <v>2020</v>
      </c>
      <c r="D35" s="201">
        <f>'[4]2020'!$C$6</f>
        <v>1798.5053</v>
      </c>
      <c r="E35" s="168"/>
      <c r="F35" s="168"/>
      <c r="G35" s="168">
        <f>'[4]2020'!$C$5</f>
        <v>12573.843800000001</v>
      </c>
      <c r="H35" s="74">
        <f>D35+G35</f>
        <v>14372.349100000001</v>
      </c>
      <c r="J35" s="208">
        <f>(G35-G34)/G34</f>
        <v>-0.91256526346737066</v>
      </c>
    </row>
    <row r="36" spans="2:10">
      <c r="B36" s="264"/>
      <c r="C36" s="78">
        <v>2021</v>
      </c>
      <c r="D36" s="168">
        <f>'[4]2021'!$D$6</f>
        <v>8589.8852000000006</v>
      </c>
      <c r="E36" s="168">
        <f>E35</f>
        <v>0</v>
      </c>
      <c r="F36" s="168">
        <f>F35</f>
        <v>0</v>
      </c>
      <c r="G36" s="168">
        <f>'[4]2021'!$D$5</f>
        <v>28778.042099999999</v>
      </c>
      <c r="H36" s="74">
        <f>D36+G36</f>
        <v>37367.927299999996</v>
      </c>
      <c r="J36" s="208">
        <f>G35/G34</f>
        <v>8.743473653262937E-2</v>
      </c>
    </row>
    <row r="37" spans="2:10" ht="15">
      <c r="B37" s="232"/>
      <c r="C37" s="200">
        <v>2022</v>
      </c>
      <c r="D37" s="168">
        <f>'[4]2022'!$D$6</f>
        <v>5265.59</v>
      </c>
      <c r="E37" s="233"/>
      <c r="F37" s="233"/>
      <c r="G37" s="168">
        <f>'[4]2022'!$D$5</f>
        <v>27577.74</v>
      </c>
      <c r="H37" s="234"/>
      <c r="J37" s="208"/>
    </row>
    <row r="38" spans="2:10">
      <c r="C38" s="59" t="s">
        <v>124</v>
      </c>
      <c r="D38" s="1"/>
      <c r="E38" s="1"/>
      <c r="F38" s="1"/>
      <c r="G38" s="1"/>
      <c r="H38" s="1"/>
    </row>
    <row r="39" spans="2:10" ht="31.5" customHeight="1">
      <c r="B39" s="313" t="s">
        <v>66</v>
      </c>
      <c r="C39" s="318"/>
      <c r="D39" s="318"/>
      <c r="E39" s="318"/>
      <c r="F39" s="318"/>
      <c r="G39" s="318"/>
      <c r="H39" s="319"/>
    </row>
    <row r="40" spans="2:10" ht="15" thickBot="1">
      <c r="B40" s="314"/>
      <c r="C40" s="320"/>
      <c r="D40" s="320"/>
      <c r="E40" s="320"/>
      <c r="F40" s="320"/>
      <c r="G40" s="320"/>
      <c r="H40" s="321"/>
    </row>
    <row r="41" spans="2:10">
      <c r="B41" s="1"/>
    </row>
    <row r="42" spans="2:10" ht="30" customHeight="1">
      <c r="B42" s="313" t="s">
        <v>70</v>
      </c>
      <c r="C42" s="325" t="s">
        <v>125</v>
      </c>
      <c r="D42" s="326"/>
      <c r="E42" s="326"/>
      <c r="F42" s="326"/>
      <c r="G42" s="326"/>
      <c r="H42" s="327"/>
    </row>
    <row r="43" spans="2:10" ht="32.25" customHeight="1">
      <c r="B43" s="314"/>
      <c r="C43" s="328"/>
      <c r="D43" s="329"/>
      <c r="E43" s="329"/>
      <c r="F43" s="329"/>
      <c r="G43" s="329"/>
      <c r="H43" s="330"/>
    </row>
    <row r="45" spans="2:10" ht="22.5" customHeight="1">
      <c r="B45" s="331" t="s">
        <v>76</v>
      </c>
      <c r="C45" s="333"/>
      <c r="D45" s="334"/>
      <c r="E45" s="334"/>
      <c r="F45" s="334"/>
      <c r="G45" s="334"/>
      <c r="H45" s="335"/>
      <c r="I45" s="28"/>
    </row>
    <row r="46" spans="2:10" ht="22.5" customHeight="1">
      <c r="B46" s="332"/>
      <c r="C46" s="336"/>
      <c r="D46" s="337"/>
      <c r="E46" s="337"/>
      <c r="F46" s="337"/>
      <c r="G46" s="337"/>
      <c r="H46" s="338"/>
      <c r="I46" s="28"/>
    </row>
    <row r="48" spans="2:10" ht="17.100000000000001" customHeight="1">
      <c r="B48" s="125"/>
      <c r="D48">
        <f>(D32+D34+D33)/3</f>
        <v>12884.886020266669</v>
      </c>
    </row>
  </sheetData>
  <autoFilter ref="C3:C35" xr:uid="{00000000-0009-0000-0000-000003000000}"/>
  <mergeCells count="14">
    <mergeCell ref="B42:B43"/>
    <mergeCell ref="C42:H42"/>
    <mergeCell ref="C43:H43"/>
    <mergeCell ref="B45:B46"/>
    <mergeCell ref="C45:H45"/>
    <mergeCell ref="C46:H46"/>
    <mergeCell ref="B2:H2"/>
    <mergeCell ref="B39:B40"/>
    <mergeCell ref="D3:H3"/>
    <mergeCell ref="C39:H39"/>
    <mergeCell ref="C40:H40"/>
    <mergeCell ref="B3:B4"/>
    <mergeCell ref="C3:C4"/>
    <mergeCell ref="B5:B36"/>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50"/>
  <sheetViews>
    <sheetView topLeftCell="B15" zoomScale="90" zoomScaleNormal="90" workbookViewId="0">
      <selection activeCell="G18" sqref="G18"/>
    </sheetView>
  </sheetViews>
  <sheetFormatPr defaultColWidth="11.42578125" defaultRowHeight="14.45"/>
  <cols>
    <col min="1" max="1" width="6" customWidth="1"/>
    <col min="2" max="2" width="20.42578125" customWidth="1"/>
    <col min="3" max="3" width="12.28515625" customWidth="1"/>
    <col min="4" max="4" width="20.85546875" customWidth="1"/>
  </cols>
  <sheetData>
    <row r="2" spans="2:7" ht="42" customHeight="1">
      <c r="B2" s="339" t="s">
        <v>126</v>
      </c>
      <c r="C2" s="339"/>
      <c r="D2" s="339"/>
      <c r="E2" s="60"/>
      <c r="F2" s="60"/>
      <c r="G2" s="60"/>
    </row>
    <row r="3" spans="2:7" ht="38.25" customHeight="1">
      <c r="B3" s="355" t="s">
        <v>52</v>
      </c>
      <c r="C3" s="357" t="s">
        <v>53</v>
      </c>
      <c r="D3" s="190" t="s">
        <v>127</v>
      </c>
      <c r="E3" s="28"/>
    </row>
    <row r="4" spans="2:7" ht="16.5">
      <c r="B4" s="356"/>
      <c r="C4" s="269"/>
      <c r="D4" s="191" t="s">
        <v>128</v>
      </c>
      <c r="E4" s="28"/>
    </row>
    <row r="5" spans="2:7" ht="15.75" customHeight="1">
      <c r="B5" s="358" t="s">
        <v>129</v>
      </c>
      <c r="C5" s="189">
        <v>1990</v>
      </c>
      <c r="D5" s="192"/>
      <c r="E5" s="28"/>
    </row>
    <row r="6" spans="2:7" ht="15.75" customHeight="1">
      <c r="B6" s="359"/>
      <c r="C6" s="189">
        <v>1991</v>
      </c>
      <c r="D6" s="192"/>
      <c r="E6" s="28"/>
    </row>
    <row r="7" spans="2:7" ht="15.75" customHeight="1">
      <c r="B7" s="359"/>
      <c r="C7" s="189">
        <v>1992</v>
      </c>
      <c r="D7" s="192"/>
      <c r="E7" s="28"/>
    </row>
    <row r="8" spans="2:7" ht="15.75" customHeight="1">
      <c r="B8" s="359"/>
      <c r="C8" s="189">
        <v>1993</v>
      </c>
      <c r="D8" s="192"/>
      <c r="E8" s="28"/>
    </row>
    <row r="9" spans="2:7" ht="15.75" customHeight="1">
      <c r="B9" s="359"/>
      <c r="C9" s="189">
        <v>1994</v>
      </c>
      <c r="D9" s="193">
        <v>110752.4</v>
      </c>
      <c r="E9" s="24"/>
    </row>
    <row r="10" spans="2:7" ht="13.5" customHeight="1">
      <c r="B10" s="359"/>
      <c r="C10" s="189">
        <v>1995</v>
      </c>
      <c r="D10" s="194">
        <v>70692.600000000006</v>
      </c>
    </row>
    <row r="11" spans="2:7" ht="13.5" customHeight="1">
      <c r="B11" s="359"/>
      <c r="C11" s="189">
        <v>1996</v>
      </c>
      <c r="D11" s="194">
        <v>67075.8</v>
      </c>
      <c r="E11" s="14"/>
    </row>
    <row r="12" spans="2:7" ht="14.25" customHeight="1">
      <c r="B12" s="359"/>
      <c r="C12" s="189">
        <v>1997</v>
      </c>
      <c r="D12" s="194">
        <v>122586.2</v>
      </c>
      <c r="E12" s="15"/>
    </row>
    <row r="13" spans="2:7" ht="13.5" customHeight="1">
      <c r="B13" s="359"/>
      <c r="C13" s="189">
        <v>1998</v>
      </c>
      <c r="D13" s="194">
        <v>51015.8</v>
      </c>
      <c r="E13" s="15"/>
    </row>
    <row r="14" spans="2:7" ht="13.5" customHeight="1">
      <c r="B14" s="359"/>
      <c r="C14" s="189">
        <v>1999</v>
      </c>
      <c r="D14" s="194">
        <v>119248.8</v>
      </c>
      <c r="E14" s="15"/>
    </row>
    <row r="15" spans="2:7" ht="15" customHeight="1">
      <c r="B15" s="359"/>
      <c r="C15" s="189">
        <v>2000</v>
      </c>
      <c r="D15" s="193">
        <v>99002.2</v>
      </c>
    </row>
    <row r="16" spans="2:7" ht="15" customHeight="1">
      <c r="B16" s="359"/>
      <c r="C16" s="189">
        <v>2001</v>
      </c>
      <c r="D16" s="194">
        <v>57224.2</v>
      </c>
    </row>
    <row r="17" spans="2:4" ht="15.75" customHeight="1">
      <c r="B17" s="359"/>
      <c r="C17" s="189">
        <v>2002</v>
      </c>
      <c r="D17" s="194">
        <v>82409.8</v>
      </c>
    </row>
    <row r="18" spans="2:4" ht="15.75" customHeight="1">
      <c r="B18" s="359"/>
      <c r="C18" s="189">
        <v>2003</v>
      </c>
      <c r="D18" s="195">
        <f>((D21/D17)^(1/4))*D17</f>
        <v>67022.107419928332</v>
      </c>
    </row>
    <row r="19" spans="2:4">
      <c r="B19" s="359"/>
      <c r="C19" s="189">
        <v>2004</v>
      </c>
      <c r="D19" s="195">
        <f>((D21/D17)^(1/4))*D18</f>
        <v>54507.629954306547</v>
      </c>
    </row>
    <row r="20" spans="2:4">
      <c r="B20" s="359"/>
      <c r="C20" s="189">
        <v>2005</v>
      </c>
      <c r="D20" s="196">
        <f>((D21/D17)^(1/4))*D19</f>
        <v>44329.876179814004</v>
      </c>
    </row>
    <row r="21" spans="2:4" ht="15" customHeight="1">
      <c r="B21" s="359"/>
      <c r="C21" s="189">
        <v>2006</v>
      </c>
      <c r="D21" s="197">
        <v>36052.529228752108</v>
      </c>
    </row>
    <row r="22" spans="2:4" ht="15" customHeight="1">
      <c r="B22" s="359"/>
      <c r="C22" s="189">
        <v>2007</v>
      </c>
      <c r="D22" s="197">
        <v>61987.066966021157</v>
      </c>
    </row>
    <row r="23" spans="2:4">
      <c r="B23" s="359"/>
      <c r="C23" s="189">
        <v>2008</v>
      </c>
      <c r="D23" s="197">
        <v>37823.922485975476</v>
      </c>
    </row>
    <row r="24" spans="2:4">
      <c r="B24" s="359"/>
      <c r="C24" s="189">
        <v>2009</v>
      </c>
      <c r="D24" s="197">
        <v>46588.835753177016</v>
      </c>
    </row>
    <row r="25" spans="2:4" ht="15.75" customHeight="1">
      <c r="B25" s="359"/>
      <c r="C25" s="189">
        <v>2010</v>
      </c>
      <c r="D25" s="198">
        <v>45239.818599999999</v>
      </c>
    </row>
    <row r="26" spans="2:4">
      <c r="B26" s="359"/>
      <c r="C26" s="189">
        <v>2011</v>
      </c>
      <c r="D26" s="197">
        <v>44585.004499999995</v>
      </c>
    </row>
    <row r="27" spans="2:4">
      <c r="B27" s="359"/>
      <c r="C27" s="189">
        <v>2012</v>
      </c>
      <c r="D27" s="197">
        <v>53426.544599999994</v>
      </c>
    </row>
    <row r="28" spans="2:4">
      <c r="B28" s="359"/>
      <c r="C28" s="189">
        <v>2013</v>
      </c>
      <c r="D28" s="198">
        <v>57744.63768</v>
      </c>
    </row>
    <row r="29" spans="2:4" ht="14.25" customHeight="1">
      <c r="B29" s="359"/>
      <c r="C29" s="189">
        <v>2014</v>
      </c>
      <c r="D29" s="197">
        <v>71464.25</v>
      </c>
    </row>
    <row r="30" spans="2:4" ht="13.5" customHeight="1">
      <c r="B30" s="359"/>
      <c r="C30" s="189">
        <v>2015</v>
      </c>
      <c r="D30" s="197">
        <v>74257.571119999993</v>
      </c>
    </row>
    <row r="31" spans="2:4">
      <c r="B31" s="359"/>
      <c r="C31" s="189">
        <v>2016</v>
      </c>
      <c r="D31" s="197">
        <v>56568.454140000009</v>
      </c>
    </row>
    <row r="32" spans="2:4">
      <c r="B32" s="359"/>
      <c r="C32" s="189">
        <v>2017</v>
      </c>
      <c r="D32" s="198">
        <v>52538.928000000014</v>
      </c>
    </row>
    <row r="33" spans="2:5">
      <c r="B33" s="359"/>
      <c r="C33" s="189">
        <v>2018</v>
      </c>
      <c r="D33" s="230">
        <f>[2]Resumen!$C$5</f>
        <v>13118.601174200006</v>
      </c>
    </row>
    <row r="34" spans="2:5">
      <c r="B34" s="359"/>
      <c r="C34" s="189">
        <v>2019</v>
      </c>
      <c r="D34" s="230">
        <f>'[3]B. Natural'!$C$11</f>
        <v>3663.3856000000023</v>
      </c>
      <c r="E34" s="208">
        <f>(D34-D33)/D33</f>
        <v>-0.72074876342725602</v>
      </c>
    </row>
    <row r="35" spans="2:5">
      <c r="B35" s="359"/>
      <c r="C35" s="189">
        <v>2020</v>
      </c>
      <c r="D35" s="230">
        <f>'[4]2020'!$C$4</f>
        <v>8193.628399999996</v>
      </c>
    </row>
    <row r="36" spans="2:5" ht="15">
      <c r="B36" s="360"/>
      <c r="C36" s="199">
        <v>2021</v>
      </c>
      <c r="D36" s="230">
        <f>'[4]2021'!$D$4</f>
        <v>19706.651199999986</v>
      </c>
    </row>
    <row r="37" spans="2:5" ht="15">
      <c r="B37" s="13"/>
      <c r="C37" s="199">
        <v>2022</v>
      </c>
      <c r="D37" s="230">
        <f>'[4]2022'!$D$4</f>
        <v>46734.03</v>
      </c>
    </row>
    <row r="38" spans="2:5" ht="22.5" customHeight="1">
      <c r="B38" s="340" t="s">
        <v>66</v>
      </c>
      <c r="C38" s="351"/>
      <c r="D38" s="352"/>
    </row>
    <row r="39" spans="2:5" ht="22.5" customHeight="1">
      <c r="B39" s="341"/>
      <c r="C39" s="347"/>
      <c r="D39" s="348"/>
    </row>
    <row r="40" spans="2:5" ht="24" customHeight="1">
      <c r="B40" s="341"/>
      <c r="C40" s="347"/>
      <c r="D40" s="348"/>
    </row>
    <row r="41" spans="2:5" ht="18" customHeight="1" thickBot="1">
      <c r="B41" s="342"/>
      <c r="C41" s="353"/>
      <c r="D41" s="354"/>
    </row>
    <row r="42" spans="2:5" ht="15" thickBot="1">
      <c r="B42" s="1"/>
    </row>
    <row r="43" spans="2:5" ht="18.75" customHeight="1">
      <c r="B43" s="340" t="s">
        <v>70</v>
      </c>
      <c r="C43" s="343"/>
      <c r="D43" s="344"/>
    </row>
    <row r="44" spans="2:5" ht="19.5" customHeight="1">
      <c r="B44" s="341"/>
      <c r="C44" s="345"/>
      <c r="D44" s="346"/>
    </row>
    <row r="45" spans="2:5" ht="17.25" customHeight="1">
      <c r="B45" s="341"/>
      <c r="C45" s="347"/>
      <c r="D45" s="348"/>
    </row>
    <row r="46" spans="2:5" ht="21" customHeight="1" thickBot="1">
      <c r="B46" s="342"/>
      <c r="C46" s="349"/>
      <c r="D46" s="350"/>
    </row>
    <row r="47" spans="2:5" ht="15" thickBot="1">
      <c r="B47" s="1"/>
    </row>
    <row r="48" spans="2:5" ht="60" customHeight="1" thickBot="1">
      <c r="B48" s="128" t="s">
        <v>76</v>
      </c>
      <c r="C48" s="395"/>
      <c r="D48" s="396"/>
      <c r="E48" s="28"/>
    </row>
    <row r="50" spans="2:2" ht="17.100000000000001">
      <c r="B50" s="125"/>
    </row>
  </sheetData>
  <autoFilter ref="C3:C35" xr:uid="{00000000-0009-0000-0000-000004000000}"/>
  <mergeCells count="15">
    <mergeCell ref="B2:D2"/>
    <mergeCell ref="B38:B41"/>
    <mergeCell ref="C48:D48"/>
    <mergeCell ref="C43:D43"/>
    <mergeCell ref="C44:D44"/>
    <mergeCell ref="C45:D45"/>
    <mergeCell ref="C46:D46"/>
    <mergeCell ref="B43:B46"/>
    <mergeCell ref="C38:D38"/>
    <mergeCell ref="C39:D39"/>
    <mergeCell ref="C40:D40"/>
    <mergeCell ref="C41:D41"/>
    <mergeCell ref="B3:B4"/>
    <mergeCell ref="C3:C4"/>
    <mergeCell ref="B5:B36"/>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41"/>
  <sheetViews>
    <sheetView zoomScale="90" zoomScaleNormal="90" workbookViewId="0">
      <selection activeCell="L13" sqref="L13"/>
    </sheetView>
  </sheetViews>
  <sheetFormatPr defaultColWidth="11.42578125" defaultRowHeight="14.45"/>
  <cols>
    <col min="1" max="1" width="4" customWidth="1"/>
    <col min="2" max="2" width="19.7109375" customWidth="1"/>
    <col min="4" max="6" width="14.7109375" customWidth="1"/>
  </cols>
  <sheetData>
    <row r="2" spans="2:6" ht="42" customHeight="1" thickBot="1">
      <c r="B2" s="312" t="s">
        <v>130</v>
      </c>
      <c r="C2" s="312"/>
      <c r="D2" s="312"/>
      <c r="E2" s="312"/>
      <c r="F2" s="312"/>
    </row>
    <row r="3" spans="2:6" ht="21.75" customHeight="1" thickBot="1">
      <c r="B3" s="268" t="s">
        <v>6</v>
      </c>
      <c r="C3" s="268" t="s">
        <v>53</v>
      </c>
      <c r="D3" s="265" t="s">
        <v>118</v>
      </c>
      <c r="E3" s="266"/>
      <c r="F3" s="267"/>
    </row>
    <row r="4" spans="2:6" ht="29.45" thickBot="1">
      <c r="B4" s="309"/>
      <c r="C4" s="269"/>
      <c r="D4" s="104" t="s">
        <v>131</v>
      </c>
      <c r="E4" s="113" t="s">
        <v>132</v>
      </c>
      <c r="F4" s="114" t="s">
        <v>122</v>
      </c>
    </row>
    <row r="5" spans="2:6">
      <c r="B5" s="315" t="s">
        <v>133</v>
      </c>
      <c r="C5" s="35">
        <v>1990</v>
      </c>
      <c r="D5" s="105"/>
      <c r="E5" s="106"/>
      <c r="F5" s="66"/>
    </row>
    <row r="6" spans="2:6">
      <c r="B6" s="315"/>
      <c r="C6" s="61">
        <v>1991</v>
      </c>
      <c r="D6" s="107"/>
      <c r="E6" s="108"/>
      <c r="F6" s="65"/>
    </row>
    <row r="7" spans="2:6">
      <c r="B7" s="315"/>
      <c r="C7" s="61">
        <v>1992</v>
      </c>
      <c r="D7" s="107"/>
      <c r="E7" s="108"/>
      <c r="F7" s="65"/>
    </row>
    <row r="8" spans="2:6">
      <c r="B8" s="315"/>
      <c r="C8" s="61">
        <v>1993</v>
      </c>
      <c r="D8" s="107"/>
      <c r="E8" s="108"/>
      <c r="F8" s="65"/>
    </row>
    <row r="9" spans="2:6">
      <c r="B9" s="315"/>
      <c r="C9" s="61">
        <v>1994</v>
      </c>
      <c r="D9" s="27"/>
      <c r="E9" s="109"/>
      <c r="F9" s="65"/>
    </row>
    <row r="10" spans="2:6">
      <c r="B10" s="315"/>
      <c r="C10" s="61">
        <v>1995</v>
      </c>
      <c r="D10" s="27"/>
      <c r="E10" s="109"/>
      <c r="F10" s="65"/>
    </row>
    <row r="11" spans="2:6">
      <c r="B11" s="315"/>
      <c r="C11" s="61">
        <v>1996</v>
      </c>
      <c r="D11" s="27"/>
      <c r="E11" s="109"/>
      <c r="F11" s="65"/>
    </row>
    <row r="12" spans="2:6">
      <c r="B12" s="315"/>
      <c r="C12" s="61">
        <v>1997</v>
      </c>
      <c r="D12" s="27"/>
      <c r="E12" s="109"/>
      <c r="F12" s="65"/>
    </row>
    <row r="13" spans="2:6">
      <c r="B13" s="315"/>
      <c r="C13" s="61">
        <v>1998</v>
      </c>
      <c r="D13" s="27"/>
      <c r="E13" s="109"/>
      <c r="F13" s="65"/>
    </row>
    <row r="14" spans="2:6">
      <c r="B14" s="315"/>
      <c r="C14" s="61">
        <v>1999</v>
      </c>
      <c r="D14" s="27"/>
      <c r="E14" s="109"/>
      <c r="F14" s="65"/>
    </row>
    <row r="15" spans="2:6">
      <c r="B15" s="315"/>
      <c r="C15" s="61">
        <v>2000</v>
      </c>
      <c r="D15" s="27"/>
      <c r="E15" s="109"/>
      <c r="F15" s="65"/>
    </row>
    <row r="16" spans="2:6">
      <c r="B16" s="315"/>
      <c r="C16" s="61">
        <v>2001</v>
      </c>
      <c r="D16" s="27"/>
      <c r="E16" s="109"/>
      <c r="F16" s="65"/>
    </row>
    <row r="17" spans="2:6">
      <c r="B17" s="315"/>
      <c r="C17" s="61">
        <v>2002</v>
      </c>
      <c r="D17" s="27"/>
      <c r="E17" s="109"/>
      <c r="F17" s="65"/>
    </row>
    <row r="18" spans="2:6">
      <c r="B18" s="315"/>
      <c r="C18" s="61">
        <v>2003</v>
      </c>
      <c r="D18" s="27"/>
      <c r="E18" s="110"/>
      <c r="F18" s="65"/>
    </row>
    <row r="19" spans="2:6">
      <c r="B19" s="315"/>
      <c r="C19" s="61">
        <v>2004</v>
      </c>
      <c r="D19" s="27"/>
      <c r="E19" s="110"/>
      <c r="F19" s="65"/>
    </row>
    <row r="20" spans="2:6">
      <c r="B20" s="315"/>
      <c r="C20" s="61">
        <v>2005</v>
      </c>
      <c r="D20" s="27"/>
      <c r="E20" s="110"/>
      <c r="F20" s="65"/>
    </row>
    <row r="21" spans="2:6">
      <c r="B21" s="315"/>
      <c r="C21" s="61">
        <v>2006</v>
      </c>
      <c r="D21" s="27"/>
      <c r="E21" s="109"/>
      <c r="F21" s="65"/>
    </row>
    <row r="22" spans="2:6">
      <c r="B22" s="315"/>
      <c r="C22" s="61">
        <v>2007</v>
      </c>
      <c r="D22" s="27"/>
      <c r="E22" s="109"/>
      <c r="F22" s="65"/>
    </row>
    <row r="23" spans="2:6">
      <c r="B23" s="315"/>
      <c r="C23" s="61">
        <v>2008</v>
      </c>
      <c r="D23" s="27"/>
      <c r="E23" s="109"/>
      <c r="F23" s="65"/>
    </row>
    <row r="24" spans="2:6">
      <c r="B24" s="315"/>
      <c r="C24" s="61">
        <v>2009</v>
      </c>
      <c r="D24" s="27"/>
      <c r="E24" s="109"/>
      <c r="F24" s="65"/>
    </row>
    <row r="25" spans="2:6">
      <c r="B25" s="315"/>
      <c r="C25" s="61">
        <v>2010</v>
      </c>
      <c r="D25" s="27"/>
      <c r="E25" s="109"/>
      <c r="F25" s="65"/>
    </row>
    <row r="26" spans="2:6">
      <c r="B26" s="315"/>
      <c r="C26" s="61">
        <v>2011</v>
      </c>
      <c r="D26" s="27"/>
      <c r="E26" s="109"/>
      <c r="F26" s="65"/>
    </row>
    <row r="27" spans="2:6">
      <c r="B27" s="315"/>
      <c r="C27" s="61">
        <v>2012</v>
      </c>
      <c r="D27" s="27"/>
      <c r="E27" s="109"/>
      <c r="F27" s="65"/>
    </row>
    <row r="28" spans="2:6">
      <c r="B28" s="315"/>
      <c r="C28" s="61">
        <v>2013</v>
      </c>
      <c r="D28" s="27"/>
      <c r="E28" s="109"/>
      <c r="F28" s="65"/>
    </row>
    <row r="29" spans="2:6">
      <c r="B29" s="315"/>
      <c r="C29" s="61">
        <v>2014</v>
      </c>
      <c r="D29" s="27"/>
      <c r="E29" s="109"/>
      <c r="F29" s="65"/>
    </row>
    <row r="30" spans="2:6">
      <c r="B30" s="315"/>
      <c r="C30" s="61">
        <v>2015</v>
      </c>
      <c r="D30" s="27"/>
      <c r="E30" s="109"/>
      <c r="F30" s="65"/>
    </row>
    <row r="31" spans="2:6">
      <c r="B31" s="315"/>
      <c r="C31" s="61">
        <v>2016</v>
      </c>
      <c r="D31" s="27"/>
      <c r="E31" s="109"/>
      <c r="F31" s="65"/>
    </row>
    <row r="32" spans="2:6">
      <c r="B32" s="315"/>
      <c r="C32" s="61">
        <v>2017</v>
      </c>
      <c r="D32" s="27"/>
      <c r="E32" s="109"/>
      <c r="F32" s="65"/>
    </row>
    <row r="33" spans="2:6">
      <c r="B33" s="315"/>
      <c r="C33" s="61">
        <v>2018</v>
      </c>
      <c r="D33" s="27"/>
      <c r="E33" s="109"/>
      <c r="F33" s="65"/>
    </row>
    <row r="34" spans="2:6">
      <c r="B34" s="315"/>
      <c r="C34" s="102">
        <v>2019</v>
      </c>
      <c r="D34" s="103"/>
      <c r="E34" s="111"/>
      <c r="F34" s="65"/>
    </row>
    <row r="35" spans="2:6" ht="15" thickBot="1">
      <c r="B35" s="363"/>
      <c r="C35" s="62">
        <v>2020</v>
      </c>
      <c r="D35" s="64"/>
      <c r="E35" s="112"/>
      <c r="F35" s="26"/>
    </row>
    <row r="36" spans="2:6" ht="15" thickBot="1"/>
    <row r="37" spans="2:6" ht="15" thickBot="1">
      <c r="B37" s="129" t="s">
        <v>66</v>
      </c>
      <c r="C37" s="361"/>
      <c r="D37" s="361"/>
      <c r="E37" s="361"/>
      <c r="F37" s="362"/>
    </row>
    <row r="38" spans="2:6" ht="15" thickBot="1">
      <c r="B38" s="1"/>
    </row>
    <row r="39" spans="2:6" ht="15" thickBot="1">
      <c r="B39" s="129" t="s">
        <v>70</v>
      </c>
      <c r="C39" s="361"/>
      <c r="D39" s="361"/>
      <c r="E39" s="361"/>
      <c r="F39" s="362"/>
    </row>
    <row r="40" spans="2:6" ht="15" thickBot="1">
      <c r="B40" s="1"/>
    </row>
    <row r="41" spans="2:6" ht="60.75" customHeight="1" thickBot="1">
      <c r="B41" s="130" t="s">
        <v>76</v>
      </c>
      <c r="C41" s="361"/>
      <c r="D41" s="361"/>
      <c r="E41" s="361"/>
      <c r="F41" s="362"/>
    </row>
  </sheetData>
  <autoFilter ref="C3:C35" xr:uid="{00000000-0009-0000-0000-000005000000}"/>
  <mergeCells count="8">
    <mergeCell ref="C39:F39"/>
    <mergeCell ref="C41:F41"/>
    <mergeCell ref="B2:F2"/>
    <mergeCell ref="B3:B4"/>
    <mergeCell ref="C3:C4"/>
    <mergeCell ref="D3:F3"/>
    <mergeCell ref="B5:B35"/>
    <mergeCell ref="C37:F37"/>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52"/>
  <sheetViews>
    <sheetView tabSelected="1" zoomScale="120" zoomScaleNormal="120" workbookViewId="0">
      <pane xSplit="2" ySplit="5" topLeftCell="C21" activePane="bottomRight" state="frozen"/>
      <selection pane="bottomRight" activeCell="P22" sqref="P22"/>
      <selection pane="bottomLeft" activeCell="A6" sqref="A6"/>
      <selection pane="topRight" activeCell="C1" sqref="C1"/>
    </sheetView>
  </sheetViews>
  <sheetFormatPr defaultColWidth="11.42578125" defaultRowHeight="14.45"/>
  <cols>
    <col min="1" max="1" width="3.85546875" customWidth="1"/>
    <col min="2" max="2" width="15.140625" customWidth="1"/>
    <col min="3" max="8" width="10.85546875" customWidth="1"/>
    <col min="9" max="9" width="12.7109375" customWidth="1"/>
    <col min="10" max="10" width="13.7109375" customWidth="1"/>
    <col min="11" max="13" width="10.85546875" customWidth="1"/>
  </cols>
  <sheetData>
    <row r="2" spans="2:14" ht="21.6" thickBot="1">
      <c r="B2" s="374" t="s">
        <v>134</v>
      </c>
      <c r="C2" s="374"/>
      <c r="D2" s="374"/>
      <c r="E2" s="374"/>
      <c r="F2" s="374"/>
      <c r="G2" s="374"/>
      <c r="H2" s="374"/>
      <c r="I2" s="374"/>
      <c r="J2" s="374"/>
      <c r="K2" s="374"/>
      <c r="L2" s="374"/>
      <c r="M2" s="374"/>
    </row>
    <row r="3" spans="2:14" ht="17.25" customHeight="1" thickBot="1">
      <c r="B3" s="377" t="s">
        <v>52</v>
      </c>
      <c r="C3" s="377" t="s">
        <v>53</v>
      </c>
      <c r="D3" s="383" t="s">
        <v>135</v>
      </c>
      <c r="E3" s="384"/>
      <c r="F3" s="384"/>
      <c r="G3" s="384"/>
      <c r="H3" s="384"/>
      <c r="I3" s="384"/>
      <c r="J3" s="384"/>
      <c r="K3" s="384"/>
      <c r="L3" s="384"/>
      <c r="M3" s="385"/>
    </row>
    <row r="4" spans="2:14">
      <c r="B4" s="377"/>
      <c r="C4" s="377"/>
      <c r="D4" s="381" t="s">
        <v>136</v>
      </c>
      <c r="E4" s="378" t="s">
        <v>137</v>
      </c>
      <c r="F4" s="380"/>
      <c r="G4" s="380"/>
      <c r="H4" s="380"/>
      <c r="I4" s="380"/>
      <c r="J4" s="379"/>
      <c r="K4" s="378" t="s">
        <v>138</v>
      </c>
      <c r="L4" s="379"/>
      <c r="M4" s="169" t="s">
        <v>132</v>
      </c>
    </row>
    <row r="5" spans="2:14" ht="36.75" customHeight="1">
      <c r="B5" s="377"/>
      <c r="C5" s="377"/>
      <c r="D5" s="382"/>
      <c r="E5" s="175" t="s">
        <v>139</v>
      </c>
      <c r="F5" s="176" t="s">
        <v>140</v>
      </c>
      <c r="G5" s="176" t="s">
        <v>141</v>
      </c>
      <c r="H5" s="176" t="s">
        <v>142</v>
      </c>
      <c r="I5" s="176" t="s">
        <v>143</v>
      </c>
      <c r="J5" s="177" t="s">
        <v>144</v>
      </c>
      <c r="K5" s="175" t="s">
        <v>145</v>
      </c>
      <c r="L5" s="178" t="s">
        <v>146</v>
      </c>
      <c r="M5" s="179" t="s">
        <v>147</v>
      </c>
    </row>
    <row r="6" spans="2:14">
      <c r="B6" s="386" t="s">
        <v>148</v>
      </c>
      <c r="C6" s="180">
        <v>1990</v>
      </c>
      <c r="D6" s="171"/>
      <c r="E6" s="172"/>
      <c r="F6" s="172"/>
      <c r="G6" s="172"/>
      <c r="H6" s="172"/>
      <c r="I6" s="172"/>
      <c r="J6" s="170"/>
      <c r="K6" s="172"/>
      <c r="L6" s="172"/>
      <c r="M6" s="172"/>
    </row>
    <row r="7" spans="2:14">
      <c r="B7" s="386"/>
      <c r="C7" s="180">
        <v>1991</v>
      </c>
      <c r="D7" s="171"/>
      <c r="E7" s="172"/>
      <c r="F7" s="172"/>
      <c r="G7" s="172"/>
      <c r="H7" s="172"/>
      <c r="I7" s="172"/>
      <c r="J7" s="170"/>
      <c r="K7" s="172"/>
      <c r="L7" s="172"/>
      <c r="M7" s="172"/>
    </row>
    <row r="8" spans="2:14">
      <c r="B8" s="386"/>
      <c r="C8" s="180">
        <v>1992</v>
      </c>
      <c r="D8" s="171"/>
      <c r="E8" s="172"/>
      <c r="F8" s="172"/>
      <c r="G8" s="172"/>
      <c r="H8" s="172"/>
      <c r="I8" s="172"/>
      <c r="J8" s="170"/>
      <c r="K8" s="172"/>
      <c r="L8" s="172"/>
      <c r="M8" s="172"/>
    </row>
    <row r="9" spans="2:14">
      <c r="B9" s="386"/>
      <c r="C9" s="180">
        <v>1993</v>
      </c>
      <c r="D9" s="171"/>
      <c r="E9" s="172"/>
      <c r="F9" s="172"/>
      <c r="G9" s="172"/>
      <c r="H9" s="172"/>
      <c r="I9" s="172"/>
      <c r="J9" s="170"/>
      <c r="K9" s="172"/>
      <c r="L9" s="172"/>
      <c r="M9" s="172"/>
    </row>
    <row r="10" spans="2:14" ht="15" customHeight="1">
      <c r="B10" s="386"/>
      <c r="C10" s="180">
        <v>1994</v>
      </c>
      <c r="D10" s="173"/>
      <c r="E10" s="174">
        <v>1128</v>
      </c>
      <c r="F10" s="174">
        <v>151.5</v>
      </c>
      <c r="G10" s="174">
        <v>171</v>
      </c>
      <c r="H10" s="174">
        <v>0</v>
      </c>
      <c r="I10" s="174">
        <f>[5]Incendios!$I$6*0.7</f>
        <v>263.16376783199996</v>
      </c>
      <c r="J10" s="174">
        <f>[5]Incendios!$I6*0.3</f>
        <v>112.78447192799999</v>
      </c>
      <c r="K10" s="174">
        <v>45.322635807999987</v>
      </c>
      <c r="L10" s="174">
        <v>30150</v>
      </c>
      <c r="M10" s="174"/>
    </row>
    <row r="11" spans="2:14">
      <c r="B11" s="386"/>
      <c r="C11" s="180">
        <v>1995</v>
      </c>
      <c r="D11" s="173"/>
      <c r="E11" s="174">
        <v>969.85369091502821</v>
      </c>
      <c r="F11" s="174">
        <v>131.69558519999998</v>
      </c>
      <c r="G11" s="174">
        <v>220.79083200200321</v>
      </c>
      <c r="H11" s="174">
        <v>0</v>
      </c>
      <c r="I11" s="174">
        <v>241.18513540000012</v>
      </c>
      <c r="J11" s="174">
        <f>[5]Incendios!$I7*0.3</f>
        <v>72.355540620000028</v>
      </c>
      <c r="K11" s="174">
        <v>20.397559320000003</v>
      </c>
      <c r="L11" s="174">
        <v>28800</v>
      </c>
      <c r="M11" s="174"/>
    </row>
    <row r="12" spans="2:14">
      <c r="B12" s="386"/>
      <c r="C12" s="180">
        <v>1996</v>
      </c>
      <c r="D12" s="173"/>
      <c r="E12" s="174">
        <v>833.87959377792833</v>
      </c>
      <c r="F12" s="174">
        <v>519.45088211600023</v>
      </c>
      <c r="G12" s="174">
        <v>285.07948243354849</v>
      </c>
      <c r="H12" s="174">
        <v>0</v>
      </c>
      <c r="I12" s="174">
        <v>367.20652410000025</v>
      </c>
      <c r="J12" s="174">
        <f>[5]Incendios!$I8*0.3</f>
        <v>110.16195723000007</v>
      </c>
      <c r="K12" s="174">
        <v>41.933733884000013</v>
      </c>
      <c r="L12" s="174">
        <v>31162.5</v>
      </c>
      <c r="M12" s="174"/>
    </row>
    <row r="13" spans="2:14" ht="12.75" customHeight="1">
      <c r="B13" s="386"/>
      <c r="C13" s="180">
        <v>1997</v>
      </c>
      <c r="D13" s="173"/>
      <c r="E13" s="174">
        <v>716.96915053568102</v>
      </c>
      <c r="F13" s="174">
        <v>580.33727619999991</v>
      </c>
      <c r="G13" s="174">
        <v>368.08734569124931</v>
      </c>
      <c r="H13" s="174">
        <v>0</v>
      </c>
      <c r="I13" s="174">
        <v>605.24905969999998</v>
      </c>
      <c r="J13" s="174">
        <f>[5]Incendios!$I9*0.3</f>
        <v>181.57471790999998</v>
      </c>
      <c r="K13" s="174">
        <v>75.12127158399997</v>
      </c>
      <c r="L13" s="174">
        <v>31815</v>
      </c>
      <c r="M13" s="174"/>
    </row>
    <row r="14" spans="2:14" ht="15.75" customHeight="1">
      <c r="B14" s="386"/>
      <c r="C14" s="180">
        <v>1998</v>
      </c>
      <c r="D14" s="173">
        <v>306</v>
      </c>
      <c r="E14" s="174">
        <v>59427.381785464</v>
      </c>
      <c r="F14" s="174">
        <v>491.96821453600006</v>
      </c>
      <c r="G14" s="174">
        <v>475.26497838935609</v>
      </c>
      <c r="H14" s="174">
        <v>0</v>
      </c>
      <c r="I14" s="174">
        <v>530.20000000000005</v>
      </c>
      <c r="J14" s="174">
        <f>[5]Incendios!$I10*0.3</f>
        <v>159.06</v>
      </c>
      <c r="K14" s="174">
        <v>32.763081476000011</v>
      </c>
      <c r="L14" s="174">
        <v>33867</v>
      </c>
      <c r="M14" s="174"/>
      <c r="N14" s="17"/>
    </row>
    <row r="15" spans="2:14">
      <c r="B15" s="386"/>
      <c r="C15" s="180">
        <v>1999</v>
      </c>
      <c r="D15" s="173">
        <v>133</v>
      </c>
      <c r="E15" s="174">
        <v>530.02300000000002</v>
      </c>
      <c r="F15" s="174">
        <v>403.59915287200022</v>
      </c>
      <c r="G15" s="174">
        <v>613.65</v>
      </c>
      <c r="H15" s="174">
        <v>0</v>
      </c>
      <c r="I15" s="174">
        <v>352.32</v>
      </c>
      <c r="J15" s="174">
        <f>[5]Incendios!$I11*0.3</f>
        <v>105.696</v>
      </c>
      <c r="K15" s="174">
        <v>30.949377840000032</v>
      </c>
      <c r="L15" s="174">
        <v>32589</v>
      </c>
      <c r="M15" s="174"/>
    </row>
    <row r="16" spans="2:14" ht="15">
      <c r="B16" s="386"/>
      <c r="C16" s="180">
        <v>2000</v>
      </c>
      <c r="D16" s="173">
        <v>43</v>
      </c>
      <c r="E16" s="174">
        <v>52.6</v>
      </c>
      <c r="F16" s="174">
        <v>352.75090234800007</v>
      </c>
      <c r="G16" s="174">
        <v>239.3</v>
      </c>
      <c r="H16" s="174">
        <v>0</v>
      </c>
      <c r="I16" s="174">
        <v>192.1</v>
      </c>
      <c r="J16" s="174">
        <f>[5]Incendios!$I12*0.3</f>
        <v>57.629999999999995</v>
      </c>
      <c r="K16" s="174">
        <v>53.921880948000002</v>
      </c>
      <c r="L16" s="174">
        <v>30861</v>
      </c>
      <c r="M16" s="181">
        <f>[5]Incendios!J12</f>
        <v>1720.3</v>
      </c>
    </row>
    <row r="17" spans="2:14" ht="15">
      <c r="B17" s="386"/>
      <c r="C17" s="180">
        <v>2001</v>
      </c>
      <c r="D17" s="173">
        <v>73</v>
      </c>
      <c r="E17" s="174">
        <v>981</v>
      </c>
      <c r="F17" s="174">
        <v>183.24453617199964</v>
      </c>
      <c r="G17" s="174">
        <v>975.4</v>
      </c>
      <c r="H17" s="174">
        <v>0</v>
      </c>
      <c r="I17" s="174">
        <v>160.4</v>
      </c>
      <c r="J17" s="174">
        <f>[5]Incendios!$I13*0.3</f>
        <v>48.12</v>
      </c>
      <c r="K17" s="174">
        <v>52.84059333999997</v>
      </c>
      <c r="L17" s="174">
        <v>22843.8</v>
      </c>
      <c r="M17" s="181">
        <f>[5]Incendios!J13</f>
        <v>2129.9499999999998</v>
      </c>
    </row>
    <row r="18" spans="2:14">
      <c r="B18" s="386"/>
      <c r="C18" s="180">
        <v>2002</v>
      </c>
      <c r="D18" s="173">
        <v>283</v>
      </c>
      <c r="E18" s="181">
        <v>556.47</v>
      </c>
      <c r="F18" s="181">
        <v>614.50456689600026</v>
      </c>
      <c r="G18" s="181">
        <v>626.25</v>
      </c>
      <c r="H18" s="181">
        <v>0</v>
      </c>
      <c r="I18" s="181">
        <v>704.4</v>
      </c>
      <c r="J18" s="181">
        <f>[5]Incendios!$I14*0.3</f>
        <v>211.32</v>
      </c>
      <c r="K18" s="181">
        <v>80.67811745600001</v>
      </c>
      <c r="L18" s="181">
        <v>29439.9</v>
      </c>
      <c r="M18" s="181">
        <f>[5]Incendios!J14</f>
        <v>1852.01</v>
      </c>
    </row>
    <row r="19" spans="2:14" ht="15" customHeight="1">
      <c r="B19" s="386"/>
      <c r="C19" s="180">
        <v>2003</v>
      </c>
      <c r="D19" s="173">
        <v>793</v>
      </c>
      <c r="E19" s="181">
        <v>3651.85</v>
      </c>
      <c r="F19" s="181">
        <v>156.39067046399975</v>
      </c>
      <c r="G19" s="181">
        <v>7940.65</v>
      </c>
      <c r="H19" s="181">
        <v>0</v>
      </c>
      <c r="I19" s="181">
        <v>1250.5</v>
      </c>
      <c r="J19" s="181">
        <f>[5]Incendios!$I15*0.3</f>
        <v>375.15</v>
      </c>
      <c r="K19" s="181">
        <v>160</v>
      </c>
      <c r="L19" s="181">
        <v>26209.8</v>
      </c>
      <c r="M19" s="181">
        <f>[5]Incendios!J15</f>
        <v>4761.8500000000004</v>
      </c>
    </row>
    <row r="20" spans="2:14">
      <c r="B20" s="386"/>
      <c r="C20" s="180">
        <v>2004</v>
      </c>
      <c r="D20" s="173">
        <v>439</v>
      </c>
      <c r="E20" s="181">
        <v>22</v>
      </c>
      <c r="F20" s="181">
        <v>28.58</v>
      </c>
      <c r="G20" s="181">
        <v>819.7</v>
      </c>
      <c r="H20" s="181">
        <v>45</v>
      </c>
      <c r="I20" s="181">
        <v>807.98</v>
      </c>
      <c r="J20" s="181">
        <f>[5]Incendios!$I16*0.3</f>
        <v>242.39400000000001</v>
      </c>
      <c r="K20" s="181">
        <v>36.700000000000003</v>
      </c>
      <c r="L20" s="181">
        <v>30996</v>
      </c>
      <c r="M20" s="181">
        <f>[5]Incendios!J16</f>
        <v>6256.2800000000007</v>
      </c>
    </row>
    <row r="21" spans="2:14">
      <c r="B21" s="386"/>
      <c r="C21" s="180">
        <v>2005</v>
      </c>
      <c r="D21" s="173">
        <v>355</v>
      </c>
      <c r="E21" s="181">
        <v>20</v>
      </c>
      <c r="F21" s="181">
        <v>543</v>
      </c>
      <c r="G21" s="181">
        <v>889</v>
      </c>
      <c r="H21" s="181">
        <v>0</v>
      </c>
      <c r="I21" s="181">
        <v>1543.8</v>
      </c>
      <c r="J21" s="181">
        <f>[5]Incendios!$I17*0.3</f>
        <v>463.14</v>
      </c>
      <c r="K21" s="181">
        <v>105</v>
      </c>
      <c r="L21" s="181">
        <v>31419.9</v>
      </c>
      <c r="M21" s="181">
        <f>[5]Incendios!J17</f>
        <v>2898.9</v>
      </c>
    </row>
    <row r="22" spans="2:14" ht="15" customHeight="1">
      <c r="B22" s="386"/>
      <c r="C22" s="180">
        <v>2006</v>
      </c>
      <c r="D22" s="173">
        <v>446</v>
      </c>
      <c r="E22" s="181">
        <v>0</v>
      </c>
      <c r="F22" s="181">
        <v>537.5</v>
      </c>
      <c r="G22" s="181">
        <v>856.12</v>
      </c>
      <c r="H22" s="181">
        <v>0</v>
      </c>
      <c r="I22" s="181">
        <v>1629.25</v>
      </c>
      <c r="J22" s="181">
        <f>[5]Incendios!$I18*0.3</f>
        <v>488.77499999999998</v>
      </c>
      <c r="K22" s="181">
        <v>54</v>
      </c>
      <c r="L22" s="181">
        <v>31558.5</v>
      </c>
      <c r="M22" s="181">
        <f>[5]Incendios!J18</f>
        <v>4560.88</v>
      </c>
    </row>
    <row r="23" spans="2:14">
      <c r="B23" s="386"/>
      <c r="C23" s="180">
        <v>2007</v>
      </c>
      <c r="D23" s="173">
        <v>754</v>
      </c>
      <c r="E23" s="181">
        <v>139.69999999999999</v>
      </c>
      <c r="F23" s="181">
        <v>409.45</v>
      </c>
      <c r="G23" s="181">
        <v>1866.01</v>
      </c>
      <c r="H23" s="181">
        <v>1</v>
      </c>
      <c r="I23" s="181">
        <v>280.01</v>
      </c>
      <c r="J23" s="181">
        <f>[5]Incendios!$I19*0.3</f>
        <v>84.003</v>
      </c>
      <c r="K23" s="181">
        <v>140</v>
      </c>
      <c r="L23" s="181">
        <v>32221.8</v>
      </c>
      <c r="M23" s="181">
        <f>[5]Incendios!J19</f>
        <v>6178.3099999999995</v>
      </c>
      <c r="N23" s="17"/>
    </row>
    <row r="24" spans="2:14">
      <c r="B24" s="386"/>
      <c r="C24" s="180">
        <v>2008</v>
      </c>
      <c r="D24" s="173">
        <v>258</v>
      </c>
      <c r="E24" s="181">
        <v>0.5</v>
      </c>
      <c r="F24" s="181">
        <v>50</v>
      </c>
      <c r="G24" s="181">
        <v>522.49</v>
      </c>
      <c r="H24" s="181">
        <v>20</v>
      </c>
      <c r="I24" s="181">
        <v>177.14</v>
      </c>
      <c r="J24" s="181">
        <f>[5]Incendios!$I20*0.3</f>
        <v>53.141999999999996</v>
      </c>
      <c r="K24" s="181">
        <v>379.5</v>
      </c>
      <c r="L24" s="181">
        <v>32077.8</v>
      </c>
      <c r="M24" s="181">
        <f>[5]Incendios!J20</f>
        <v>2478.98</v>
      </c>
    </row>
    <row r="25" spans="2:14" ht="14.25" customHeight="1">
      <c r="B25" s="386"/>
      <c r="C25" s="180">
        <v>2009</v>
      </c>
      <c r="D25" s="173">
        <v>513</v>
      </c>
      <c r="E25" s="181">
        <v>37</v>
      </c>
      <c r="F25" s="181">
        <v>234.75</v>
      </c>
      <c r="G25" s="181">
        <v>757.6</v>
      </c>
      <c r="H25" s="181">
        <v>0</v>
      </c>
      <c r="I25" s="181">
        <v>522.34</v>
      </c>
      <c r="J25" s="181">
        <f>[5]Incendios!$I21*0.3</f>
        <v>156.702</v>
      </c>
      <c r="K25" s="181">
        <v>78.58</v>
      </c>
      <c r="L25" s="181">
        <v>30627</v>
      </c>
      <c r="M25" s="181">
        <f>[5]Incendios!J21</f>
        <v>2844.0299999999997</v>
      </c>
    </row>
    <row r="26" spans="2:14">
      <c r="B26" s="386"/>
      <c r="C26" s="180">
        <v>2010</v>
      </c>
      <c r="D26" s="173">
        <v>264</v>
      </c>
      <c r="E26" s="181">
        <v>4</v>
      </c>
      <c r="F26" s="181">
        <v>47.5</v>
      </c>
      <c r="G26" s="181">
        <v>581.92999999999995</v>
      </c>
      <c r="H26" s="181">
        <v>0</v>
      </c>
      <c r="I26" s="181">
        <v>91.75</v>
      </c>
      <c r="J26" s="181">
        <f>[5]Incendios!$I22*0.3</f>
        <v>27.524999999999999</v>
      </c>
      <c r="K26" s="181">
        <v>5.51</v>
      </c>
      <c r="L26" s="181">
        <v>31502.7</v>
      </c>
      <c r="M26" s="181">
        <f>[5]Incendios!J22</f>
        <v>1570.5900000000001</v>
      </c>
    </row>
    <row r="27" spans="2:14" ht="15" customHeight="1">
      <c r="B27" s="386"/>
      <c r="C27" s="180">
        <v>2011</v>
      </c>
      <c r="D27" s="173">
        <v>217</v>
      </c>
      <c r="E27" s="181">
        <v>0</v>
      </c>
      <c r="F27" s="181">
        <v>0.01</v>
      </c>
      <c r="G27" s="181">
        <v>215.45</v>
      </c>
      <c r="H27" s="181">
        <v>0</v>
      </c>
      <c r="I27" s="181">
        <v>65.099999999999994</v>
      </c>
      <c r="J27" s="181">
        <f>[5]Incendios!$I23*0.3</f>
        <v>19.529999999999998</v>
      </c>
      <c r="K27" s="181">
        <v>0</v>
      </c>
      <c r="L27" s="181">
        <v>29564.100000000002</v>
      </c>
      <c r="M27" s="181">
        <f>[5]Incendios!J23</f>
        <v>1601.15</v>
      </c>
    </row>
    <row r="28" spans="2:14" ht="15" customHeight="1">
      <c r="B28" s="386"/>
      <c r="C28" s="180">
        <v>2012</v>
      </c>
      <c r="D28" s="173">
        <v>157</v>
      </c>
      <c r="E28" s="181">
        <v>6</v>
      </c>
      <c r="F28" s="181">
        <v>43</v>
      </c>
      <c r="G28" s="181">
        <v>805.05</v>
      </c>
      <c r="H28" s="181">
        <v>0</v>
      </c>
      <c r="I28" s="181">
        <v>156.12</v>
      </c>
      <c r="J28" s="181">
        <f>[5]Incendios!$I24*0.3</f>
        <v>46.835999999999999</v>
      </c>
      <c r="K28" s="181">
        <v>210</v>
      </c>
      <c r="L28" s="181">
        <v>30634.2</v>
      </c>
      <c r="M28" s="181">
        <f>[5]Incendios!J24</f>
        <v>1211.6799999999998</v>
      </c>
    </row>
    <row r="29" spans="2:14" ht="13.5" customHeight="1">
      <c r="B29" s="386"/>
      <c r="C29" s="180">
        <v>2013</v>
      </c>
      <c r="D29" s="173">
        <v>179</v>
      </c>
      <c r="E29" s="181">
        <v>244</v>
      </c>
      <c r="F29" s="181">
        <v>136</v>
      </c>
      <c r="G29" s="181">
        <v>1833.98</v>
      </c>
      <c r="H29" s="181">
        <v>23</v>
      </c>
      <c r="I29" s="181">
        <v>1185.55</v>
      </c>
      <c r="J29" s="181">
        <f>[5]Incendios!$I25*0.3</f>
        <v>355.66499999999996</v>
      </c>
      <c r="K29" s="181">
        <v>93.67</v>
      </c>
      <c r="L29" s="181">
        <v>33795.9</v>
      </c>
      <c r="M29" s="181">
        <f>[5]Incendios!J25</f>
        <v>1611.68</v>
      </c>
    </row>
    <row r="30" spans="2:14" ht="15" customHeight="1">
      <c r="B30" s="386"/>
      <c r="C30" s="180">
        <v>2014</v>
      </c>
      <c r="D30" s="173">
        <v>680</v>
      </c>
      <c r="E30" s="181">
        <v>0</v>
      </c>
      <c r="F30" s="181">
        <v>51.5</v>
      </c>
      <c r="G30" s="181">
        <v>404.49</v>
      </c>
      <c r="H30" s="181">
        <v>0</v>
      </c>
      <c r="I30" s="181">
        <v>301.31</v>
      </c>
      <c r="J30" s="181">
        <f>[5]Incendios!$I26*0.3</f>
        <v>90.393000000000001</v>
      </c>
      <c r="K30" s="181">
        <v>68</v>
      </c>
      <c r="L30" s="181">
        <v>36246.6</v>
      </c>
      <c r="M30" s="181">
        <f>[5]Incendios!J26</f>
        <v>2915.4300000000003</v>
      </c>
    </row>
    <row r="31" spans="2:14">
      <c r="B31" s="386"/>
      <c r="C31" s="180">
        <v>2015</v>
      </c>
      <c r="D31" s="173">
        <v>4716</v>
      </c>
      <c r="E31" s="181">
        <v>1634.5</v>
      </c>
      <c r="F31" s="181">
        <v>3014.46</v>
      </c>
      <c r="G31" s="181">
        <v>7639.13</v>
      </c>
      <c r="H31" s="181">
        <v>4.5</v>
      </c>
      <c r="I31" s="181">
        <v>783.14</v>
      </c>
      <c r="J31" s="181">
        <f>[5]Incendios!$I27*0.3</f>
        <v>234.94199999999998</v>
      </c>
      <c r="K31" s="181">
        <v>674.44</v>
      </c>
      <c r="L31" s="181">
        <v>37280.700000000004</v>
      </c>
      <c r="M31" s="181">
        <f>[5]Incendios!J27</f>
        <v>17099.22</v>
      </c>
    </row>
    <row r="32" spans="2:14">
      <c r="B32" s="386"/>
      <c r="C32" s="180">
        <v>2016</v>
      </c>
      <c r="D32" s="173">
        <v>4711</v>
      </c>
      <c r="E32" s="181">
        <v>921.06</v>
      </c>
      <c r="F32" s="181">
        <v>23202.38</v>
      </c>
      <c r="G32" s="181">
        <v>15182.58</v>
      </c>
      <c r="H32" s="181">
        <v>0.09</v>
      </c>
      <c r="I32" s="181">
        <v>2618.79</v>
      </c>
      <c r="J32" s="181">
        <f>[5]Incendios!$I28*0.3</f>
        <v>785.63699999999994</v>
      </c>
      <c r="K32" s="181">
        <v>1396.1</v>
      </c>
      <c r="L32" s="181">
        <v>23596.829999999998</v>
      </c>
      <c r="M32" s="181">
        <f>[5]Incendios!J28</f>
        <v>36901.300000000003</v>
      </c>
    </row>
    <row r="33" spans="2:13">
      <c r="B33" s="386"/>
      <c r="C33" s="180">
        <v>2017</v>
      </c>
      <c r="D33" s="173">
        <v>1466</v>
      </c>
      <c r="E33" s="181">
        <v>0</v>
      </c>
      <c r="F33" s="181">
        <v>51.210999999999999</v>
      </c>
      <c r="G33" s="181">
        <v>1528.38</v>
      </c>
      <c r="H33" s="181">
        <v>0.5</v>
      </c>
      <c r="I33" s="181">
        <v>171.30799999999999</v>
      </c>
      <c r="J33" s="181">
        <f>[5]Incendios!$I29*0.3</f>
        <v>51.392399999999995</v>
      </c>
      <c r="K33" s="181">
        <v>160.76</v>
      </c>
      <c r="L33" s="181">
        <v>22373.980000000003</v>
      </c>
      <c r="M33" s="181">
        <f>[5]Incendios!J29</f>
        <v>6993.37</v>
      </c>
    </row>
    <row r="34" spans="2:13">
      <c r="B34" s="386"/>
      <c r="C34" s="180">
        <v>2018</v>
      </c>
      <c r="D34" s="204">
        <v>1038</v>
      </c>
      <c r="E34" s="183">
        <v>0.35</v>
      </c>
      <c r="F34" s="183">
        <v>28.01</v>
      </c>
      <c r="G34" s="183">
        <v>1125.68</v>
      </c>
      <c r="H34" s="183">
        <v>0</v>
      </c>
      <c r="I34" s="183">
        <v>322.97000000000003</v>
      </c>
      <c r="J34" s="181">
        <f>[5]Incendios!$I30*0.3</f>
        <v>96.891000000000005</v>
      </c>
      <c r="K34" s="183">
        <v>79.09</v>
      </c>
      <c r="L34" s="183">
        <v>28059.14</v>
      </c>
      <c r="M34" s="183">
        <f>[5]Incendios!J30</f>
        <v>5854.32</v>
      </c>
    </row>
    <row r="35" spans="2:13">
      <c r="B35" s="386"/>
      <c r="C35" s="180">
        <v>2019</v>
      </c>
      <c r="D35" s="204">
        <v>1117</v>
      </c>
      <c r="E35" s="205">
        <v>602</v>
      </c>
      <c r="F35" s="205">
        <v>9930.2199999999993</v>
      </c>
      <c r="G35" s="205">
        <v>16444.759999999998</v>
      </c>
      <c r="H35" s="205">
        <v>612.5</v>
      </c>
      <c r="I35" s="205">
        <v>786.95</v>
      </c>
      <c r="J35" s="207">
        <f>[5]Incendios!$I31*0.3</f>
        <v>236.08500000000001</v>
      </c>
      <c r="K35" s="205">
        <v>1192.77</v>
      </c>
      <c r="L35" s="205">
        <v>21396.449999999997</v>
      </c>
      <c r="M35" s="205">
        <f>[5]Incendios!J31</f>
        <v>45320.84</v>
      </c>
    </row>
    <row r="36" spans="2:13">
      <c r="B36" s="386"/>
      <c r="C36" s="180">
        <v>2020</v>
      </c>
      <c r="D36" s="69">
        <f>'[6]Incendios-2020'!$C$22</f>
        <v>343</v>
      </c>
      <c r="E36" s="203">
        <f>'[6]Incendios-2020'!$F$28</f>
        <v>0.7</v>
      </c>
      <c r="F36" s="203">
        <f>'[6]Incendios-2020'!G28</f>
        <v>140.11000000000001</v>
      </c>
      <c r="G36" s="203">
        <f>'[6]Incendios-2020'!$H$28</f>
        <v>327</v>
      </c>
      <c r="H36" s="203">
        <f>'[6]Incendios-2020'!$I$28</f>
        <v>3.98</v>
      </c>
      <c r="I36" s="203">
        <f>0.7*'[6]Incendios-2020'!$J$28</f>
        <v>148.75700000000001</v>
      </c>
      <c r="J36" s="203">
        <f>0.3*'[6]Incendios-2020'!$J$28</f>
        <v>63.753</v>
      </c>
      <c r="K36" s="203">
        <f>'[6]Incendios-2020'!$K$28</f>
        <v>69.745999999999995</v>
      </c>
      <c r="L36" s="203"/>
      <c r="M36" s="203">
        <f>'[6]Incendios-2020'!$L$28</f>
        <v>2690.2349999999997</v>
      </c>
    </row>
    <row r="37" spans="2:13">
      <c r="B37" s="386"/>
      <c r="C37" s="180">
        <v>2021</v>
      </c>
      <c r="D37" s="204">
        <f>'[6]Incendios-2021'!$C$22</f>
        <v>771</v>
      </c>
      <c r="E37" s="205">
        <f>'[6]Incendios-2021'!$F$29</f>
        <v>17.100000000000001</v>
      </c>
      <c r="F37" s="205">
        <f>'[6]Incendios-2021'!$G$29</f>
        <v>270.89</v>
      </c>
      <c r="G37" s="205">
        <f>'[6]Incendios-2021'!$H$29</f>
        <v>347.17</v>
      </c>
      <c r="H37" s="205">
        <f>'[6]Incendios-2021'!$I$29</f>
        <v>0</v>
      </c>
      <c r="I37" s="205">
        <f>0.7*'[6]Incendios-2021'!$J$29</f>
        <v>95.164999999999992</v>
      </c>
      <c r="J37" s="206">
        <f>0.3*'[6]Incendios-2021'!$J$29</f>
        <v>40.784999999999997</v>
      </c>
      <c r="K37" s="205">
        <f>'[6]Incendios-2021'!$K$29</f>
        <v>616.78</v>
      </c>
      <c r="L37" s="205"/>
      <c r="M37" s="205">
        <f>'[6]Incendios-2021'!$L$29</f>
        <v>2229.6464999999998</v>
      </c>
    </row>
    <row r="38" spans="2:13" ht="15">
      <c r="B38" s="386"/>
      <c r="C38" s="180">
        <v>2022</v>
      </c>
      <c r="D38" s="204">
        <f>'[7]Incendios-2022'!$C$22</f>
        <v>927</v>
      </c>
      <c r="E38" s="205">
        <f>'[7]Incendios-2022'!$F$29</f>
        <v>153.24</v>
      </c>
      <c r="F38" s="205">
        <f>'[7]Incendios-2022'!$G$29</f>
        <v>391.34000000000003</v>
      </c>
      <c r="G38" s="205">
        <f>'[7]Incendios-2022'!$H$29</f>
        <v>1362.4190000000001</v>
      </c>
      <c r="H38" s="205">
        <f>'[7]Incendios-2022'!$I$29</f>
        <v>18.420000000000002</v>
      </c>
      <c r="I38" s="205">
        <f>'[7]Incendios-2022'!$J$29*0.7</f>
        <v>133.11899999999997</v>
      </c>
      <c r="J38" s="205">
        <f>'[7]Incendios-2022'!$J$29*0.3</f>
        <v>57.050999999999995</v>
      </c>
      <c r="K38" s="205">
        <f>'[7]Incendios-2022'!$K$29</f>
        <v>754.99000000000012</v>
      </c>
      <c r="L38" s="205"/>
      <c r="M38" s="205">
        <f>'[7]Incendios-2022'!$L$29</f>
        <v>6114.6130000000003</v>
      </c>
    </row>
    <row r="39" spans="2:13">
      <c r="B39" s="386"/>
      <c r="C39" s="180"/>
      <c r="D39" s="182"/>
      <c r="E39" s="183"/>
      <c r="F39" s="183"/>
      <c r="G39" s="183"/>
      <c r="H39" s="183"/>
      <c r="I39" s="183"/>
      <c r="J39" s="184"/>
      <c r="K39" s="183"/>
      <c r="L39" s="183"/>
      <c r="M39" s="183"/>
    </row>
    <row r="41" spans="2:13" ht="43.5" customHeight="1" thickBot="1">
      <c r="B41" s="131" t="s">
        <v>66</v>
      </c>
      <c r="C41" s="275"/>
      <c r="D41" s="375"/>
      <c r="E41" s="375"/>
      <c r="F41" s="375"/>
      <c r="G41" s="375"/>
      <c r="H41" s="375"/>
      <c r="I41" s="375"/>
      <c r="J41" s="375"/>
      <c r="K41" s="375"/>
      <c r="L41" s="376"/>
    </row>
    <row r="42" spans="2:13" ht="15" thickBot="1">
      <c r="B42" s="1"/>
    </row>
    <row r="43" spans="2:13" ht="47.25" customHeight="1">
      <c r="B43" s="313" t="s">
        <v>70</v>
      </c>
      <c r="C43" s="364" t="s">
        <v>149</v>
      </c>
      <c r="D43" s="364"/>
      <c r="E43" s="364"/>
      <c r="F43" s="364"/>
      <c r="G43" s="364"/>
      <c r="H43" s="364"/>
      <c r="I43" s="364"/>
      <c r="J43" s="364"/>
      <c r="K43" s="364"/>
      <c r="L43" s="365"/>
    </row>
    <row r="44" spans="2:13" ht="47.25" customHeight="1">
      <c r="B44" s="370"/>
      <c r="C44" s="371" t="s">
        <v>150</v>
      </c>
      <c r="D44" s="372"/>
      <c r="E44" s="372"/>
      <c r="F44" s="372"/>
      <c r="G44" s="372"/>
      <c r="H44" s="372"/>
      <c r="I44" s="372"/>
      <c r="J44" s="372"/>
      <c r="K44" s="372"/>
      <c r="L44" s="373"/>
    </row>
    <row r="45" spans="2:13" ht="47.25" customHeight="1">
      <c r="B45" s="370"/>
      <c r="C45" s="371" t="s">
        <v>151</v>
      </c>
      <c r="D45" s="372"/>
      <c r="E45" s="372"/>
      <c r="F45" s="372"/>
      <c r="G45" s="372"/>
      <c r="H45" s="372"/>
      <c r="I45" s="372"/>
      <c r="J45" s="372"/>
      <c r="K45" s="372"/>
      <c r="L45" s="373"/>
    </row>
    <row r="46" spans="2:13" ht="31.5" customHeight="1" thickBot="1">
      <c r="B46" s="314"/>
      <c r="C46" s="368" t="s">
        <v>152</v>
      </c>
      <c r="D46" s="368"/>
      <c r="E46" s="368"/>
      <c r="F46" s="368"/>
      <c r="G46" s="368"/>
      <c r="H46" s="368"/>
      <c r="I46" s="368"/>
      <c r="J46" s="368"/>
      <c r="K46" s="368"/>
      <c r="L46" s="369"/>
    </row>
    <row r="47" spans="2:13" ht="15" thickBot="1">
      <c r="B47" s="1"/>
    </row>
    <row r="48" spans="2:13" ht="38.25" customHeight="1">
      <c r="B48" s="366" t="s">
        <v>76</v>
      </c>
      <c r="C48" s="397"/>
      <c r="D48" s="398"/>
      <c r="E48" s="398"/>
      <c r="F48" s="399"/>
      <c r="G48" s="28"/>
    </row>
    <row r="49" spans="2:7" ht="36.75" customHeight="1" thickBot="1">
      <c r="B49" s="367"/>
      <c r="C49" s="400"/>
      <c r="D49" s="401"/>
      <c r="E49" s="401"/>
      <c r="F49" s="402"/>
      <c r="G49" s="28"/>
    </row>
    <row r="52" spans="2:7" ht="17.100000000000001">
      <c r="B52" s="125"/>
    </row>
  </sheetData>
  <autoFilter ref="C3:C36" xr:uid="{00000000-0009-0000-0000-000006000000}"/>
  <mergeCells count="17">
    <mergeCell ref="B2:M2"/>
    <mergeCell ref="C41:L41"/>
    <mergeCell ref="B3:B5"/>
    <mergeCell ref="C3:C5"/>
    <mergeCell ref="K4:L4"/>
    <mergeCell ref="E4:J4"/>
    <mergeCell ref="D4:D5"/>
    <mergeCell ref="D3:M3"/>
    <mergeCell ref="B6:B39"/>
    <mergeCell ref="C43:L43"/>
    <mergeCell ref="B48:B49"/>
    <mergeCell ref="C48:F48"/>
    <mergeCell ref="C49:F49"/>
    <mergeCell ref="C46:L46"/>
    <mergeCell ref="B43:B46"/>
    <mergeCell ref="C44:L44"/>
    <mergeCell ref="C45:L45"/>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43"/>
  <sheetViews>
    <sheetView topLeftCell="A31" workbookViewId="0">
      <selection activeCell="H40" sqref="H40"/>
    </sheetView>
  </sheetViews>
  <sheetFormatPr defaultColWidth="11.42578125" defaultRowHeight="14.45"/>
  <cols>
    <col min="1" max="1" width="6.140625" customWidth="1"/>
    <col min="2" max="2" width="14" customWidth="1"/>
    <col min="3" max="3" width="11.42578125" customWidth="1"/>
    <col min="4" max="4" width="18.5703125" customWidth="1"/>
  </cols>
  <sheetData>
    <row r="2" spans="2:5" ht="21.75" customHeight="1">
      <c r="B2" s="387" t="s">
        <v>153</v>
      </c>
      <c r="C2" s="387"/>
      <c r="D2" s="387"/>
      <c r="E2" s="135"/>
    </row>
    <row r="3" spans="2:5" ht="15.75" customHeight="1" thickBot="1">
      <c r="B3" s="388"/>
      <c r="C3" s="388"/>
      <c r="D3" s="388"/>
      <c r="E3" s="135"/>
    </row>
    <row r="4" spans="2:5" ht="43.5" customHeight="1" thickBot="1">
      <c r="B4" s="134" t="s">
        <v>52</v>
      </c>
      <c r="C4" s="122" t="s">
        <v>53</v>
      </c>
      <c r="D4" s="122" t="s">
        <v>154</v>
      </c>
    </row>
    <row r="5" spans="2:5">
      <c r="B5" s="268" t="s">
        <v>155</v>
      </c>
      <c r="C5" s="136">
        <v>1990</v>
      </c>
      <c r="D5" s="141"/>
    </row>
    <row r="6" spans="2:5">
      <c r="B6" s="269"/>
      <c r="C6" s="137">
        <v>1991</v>
      </c>
      <c r="D6" s="141"/>
    </row>
    <row r="7" spans="2:5">
      <c r="B7" s="269"/>
      <c r="C7" s="137">
        <v>1992</v>
      </c>
      <c r="D7" s="141"/>
    </row>
    <row r="8" spans="2:5">
      <c r="B8" s="269"/>
      <c r="C8" s="137">
        <v>1993</v>
      </c>
      <c r="D8" s="141"/>
    </row>
    <row r="9" spans="2:5">
      <c r="B9" s="269"/>
      <c r="C9" s="137">
        <v>1994</v>
      </c>
      <c r="D9" s="141"/>
    </row>
    <row r="10" spans="2:5">
      <c r="B10" s="269"/>
      <c r="C10" s="138">
        <v>1995</v>
      </c>
      <c r="D10" s="141"/>
    </row>
    <row r="11" spans="2:5">
      <c r="B11" s="269"/>
      <c r="C11" s="138">
        <v>1996</v>
      </c>
      <c r="D11" s="141"/>
    </row>
    <row r="12" spans="2:5">
      <c r="B12" s="269"/>
      <c r="C12" s="138">
        <v>1997</v>
      </c>
      <c r="D12" s="141"/>
    </row>
    <row r="13" spans="2:5">
      <c r="B13" s="269"/>
      <c r="C13" s="138">
        <v>1998</v>
      </c>
      <c r="D13" s="141"/>
    </row>
    <row r="14" spans="2:5">
      <c r="B14" s="269"/>
      <c r="C14" s="138">
        <v>1999</v>
      </c>
      <c r="D14" s="141"/>
    </row>
    <row r="15" spans="2:5">
      <c r="B15" s="269"/>
      <c r="C15" s="138">
        <v>2000</v>
      </c>
      <c r="D15" s="141"/>
    </row>
    <row r="16" spans="2:5">
      <c r="B16" s="269"/>
      <c r="C16" s="138">
        <v>2001</v>
      </c>
      <c r="D16" s="141"/>
    </row>
    <row r="17" spans="2:4">
      <c r="B17" s="269"/>
      <c r="C17" s="138">
        <v>2002</v>
      </c>
      <c r="D17" s="141"/>
    </row>
    <row r="18" spans="2:4">
      <c r="B18" s="269"/>
      <c r="C18" s="138">
        <v>2003</v>
      </c>
      <c r="D18" s="141"/>
    </row>
    <row r="19" spans="2:4">
      <c r="B19" s="269"/>
      <c r="C19" s="138">
        <v>2004</v>
      </c>
      <c r="D19" s="141"/>
    </row>
    <row r="20" spans="2:4">
      <c r="B20" s="269"/>
      <c r="C20" s="138">
        <v>2005</v>
      </c>
      <c r="D20" s="141"/>
    </row>
    <row r="21" spans="2:4">
      <c r="B21" s="269"/>
      <c r="C21" s="138">
        <v>2006</v>
      </c>
      <c r="D21" s="141"/>
    </row>
    <row r="22" spans="2:4">
      <c r="B22" s="269"/>
      <c r="C22" s="138">
        <v>2007</v>
      </c>
      <c r="D22" s="141"/>
    </row>
    <row r="23" spans="2:4">
      <c r="B23" s="269"/>
      <c r="C23" s="138">
        <v>2008</v>
      </c>
      <c r="D23" s="141"/>
    </row>
    <row r="24" spans="2:4">
      <c r="B24" s="269"/>
      <c r="C24" s="138">
        <v>2009</v>
      </c>
      <c r="D24" s="141"/>
    </row>
    <row r="25" spans="2:4">
      <c r="B25" s="269"/>
      <c r="C25" s="138">
        <v>2010</v>
      </c>
      <c r="D25" s="141"/>
    </row>
    <row r="26" spans="2:4">
      <c r="B26" s="269"/>
      <c r="C26" s="138">
        <v>2011</v>
      </c>
      <c r="D26" s="141"/>
    </row>
    <row r="27" spans="2:4">
      <c r="B27" s="269"/>
      <c r="C27" s="138">
        <v>2012</v>
      </c>
      <c r="D27" s="141"/>
    </row>
    <row r="28" spans="2:4">
      <c r="B28" s="269"/>
      <c r="C28" s="138">
        <v>2013</v>
      </c>
      <c r="D28" s="141"/>
    </row>
    <row r="29" spans="2:4">
      <c r="B29" s="269"/>
      <c r="C29" s="138">
        <v>2014</v>
      </c>
      <c r="D29" s="141"/>
    </row>
    <row r="30" spans="2:4">
      <c r="B30" s="269"/>
      <c r="C30" s="138">
        <v>2015</v>
      </c>
      <c r="D30" s="141"/>
    </row>
    <row r="31" spans="2:4">
      <c r="B31" s="269"/>
      <c r="C31" s="138">
        <v>2016</v>
      </c>
      <c r="D31" s="141"/>
    </row>
    <row r="32" spans="2:4">
      <c r="B32" s="269"/>
      <c r="C32" s="138">
        <v>2017</v>
      </c>
      <c r="D32" s="141"/>
    </row>
    <row r="33" spans="2:4">
      <c r="B33" s="269"/>
      <c r="C33" s="138">
        <v>2018</v>
      </c>
      <c r="D33" s="141"/>
    </row>
    <row r="34" spans="2:4">
      <c r="B34" s="269"/>
      <c r="C34" s="139">
        <v>2019</v>
      </c>
      <c r="D34" s="141"/>
    </row>
    <row r="35" spans="2:4" ht="15" thickBot="1">
      <c r="B35" s="309"/>
      <c r="C35" s="140">
        <v>2020</v>
      </c>
      <c r="D35" s="124"/>
    </row>
    <row r="37" spans="2:4" ht="15" thickBot="1"/>
    <row r="38" spans="2:4" ht="15" thickBot="1">
      <c r="B38" s="131" t="s">
        <v>66</v>
      </c>
      <c r="C38" s="389"/>
      <c r="D38" s="362"/>
    </row>
    <row r="39" spans="2:4" ht="15" thickBot="1">
      <c r="B39" s="132"/>
    </row>
    <row r="40" spans="2:4" ht="15" thickBot="1">
      <c r="B40" s="131" t="s">
        <v>70</v>
      </c>
      <c r="C40" s="390" t="s">
        <v>156</v>
      </c>
      <c r="D40" s="391"/>
    </row>
    <row r="41" spans="2:4" ht="15" thickBot="1">
      <c r="B41" s="1"/>
    </row>
    <row r="42" spans="2:4" ht="38.25" customHeight="1">
      <c r="B42" s="331" t="s">
        <v>76</v>
      </c>
      <c r="C42" s="142"/>
      <c r="D42" s="123"/>
    </row>
    <row r="43" spans="2:4" ht="46.5" customHeight="1" thickBot="1">
      <c r="B43" s="332"/>
      <c r="C43" s="143"/>
      <c r="D43" s="124"/>
    </row>
  </sheetData>
  <autoFilter ref="C4:C35" xr:uid="{00000000-0009-0000-0000-000008000000}"/>
  <mergeCells count="5">
    <mergeCell ref="B5:B35"/>
    <mergeCell ref="B42:B43"/>
    <mergeCell ref="B2:D3"/>
    <mergeCell ref="C38:D38"/>
    <mergeCell ref="C40:D40"/>
  </mergeCells>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0518F-85F3-4004-A923-C5B0735EBE5C}">
  <dimension ref="A1:K32"/>
  <sheetViews>
    <sheetView workbookViewId="0">
      <selection activeCell="H3" sqref="H3"/>
    </sheetView>
  </sheetViews>
  <sheetFormatPr defaultColWidth="8.7109375" defaultRowHeight="14.45"/>
  <cols>
    <col min="1" max="1" width="12.5703125" customWidth="1"/>
    <col min="2" max="2" width="13.140625" style="185" bestFit="1" customWidth="1"/>
    <col min="3" max="3" width="7.140625" customWidth="1"/>
    <col min="4" max="4" width="16.140625" customWidth="1"/>
    <col min="5" max="5" width="14.140625" style="185" customWidth="1"/>
    <col min="6" max="6" width="6.7109375" customWidth="1"/>
    <col min="7" max="7" width="15" bestFit="1" customWidth="1"/>
    <col min="8" max="8" width="15.7109375" customWidth="1"/>
    <col min="9" max="9" width="9.140625" bestFit="1" customWidth="1"/>
    <col min="10" max="10" width="16.7109375" customWidth="1"/>
    <col min="11" max="11" width="14.140625" bestFit="1" customWidth="1"/>
  </cols>
  <sheetData>
    <row r="1" spans="1:11" ht="30.75">
      <c r="A1" s="122" t="s">
        <v>157</v>
      </c>
      <c r="B1" s="122" t="s">
        <v>158</v>
      </c>
      <c r="C1" s="122" t="s">
        <v>159</v>
      </c>
      <c r="D1" s="122" t="s">
        <v>160</v>
      </c>
      <c r="E1" s="122" t="s">
        <v>161</v>
      </c>
      <c r="F1" s="122" t="s">
        <v>159</v>
      </c>
      <c r="G1" s="122" t="s">
        <v>162</v>
      </c>
      <c r="H1" s="122" t="s">
        <v>163</v>
      </c>
      <c r="I1" s="122" t="s">
        <v>164</v>
      </c>
      <c r="K1" s="188"/>
    </row>
    <row r="2" spans="1:11" ht="15">
      <c r="A2" s="170">
        <v>2000</v>
      </c>
      <c r="B2" s="211">
        <v>1944783</v>
      </c>
      <c r="C2" s="212" t="s">
        <v>165</v>
      </c>
      <c r="D2" s="212">
        <f t="shared" ref="D2:D13" si="0">CONVERT(B2,"lbm","kg")</f>
        <v>882138.7301057101</v>
      </c>
      <c r="E2" s="211">
        <v>2970260</v>
      </c>
      <c r="F2" s="170" t="s">
        <v>166</v>
      </c>
      <c r="G2" s="212">
        <f t="shared" ref="G2:G13" si="1">CONVERT(E2,"lbm","kg")</f>
        <v>1347287.2729162001</v>
      </c>
      <c r="H2" s="213">
        <f t="shared" ref="H2:H23" si="2">D2+G2</f>
        <v>2229426.0030219103</v>
      </c>
      <c r="I2" s="170" t="s">
        <v>167</v>
      </c>
      <c r="J2" s="186"/>
    </row>
    <row r="3" spans="1:11">
      <c r="A3" s="170">
        <v>2001</v>
      </c>
      <c r="B3" s="211">
        <f>((B$7-B$2)/5)+B2</f>
        <v>1614851.8</v>
      </c>
      <c r="C3" s="212" t="s">
        <v>165</v>
      </c>
      <c r="D3" s="212">
        <f t="shared" si="0"/>
        <v>732484.45516076603</v>
      </c>
      <c r="E3" s="211">
        <f>((E$7-E$2)/5)+E2</f>
        <v>6077850.2000000002</v>
      </c>
      <c r="F3" s="170" t="s">
        <v>166</v>
      </c>
      <c r="G3" s="212">
        <f t="shared" si="1"/>
        <v>2756866.4767229743</v>
      </c>
      <c r="H3" s="213">
        <f t="shared" si="2"/>
        <v>3489350.9318837402</v>
      </c>
      <c r="I3" s="170" t="s">
        <v>168</v>
      </c>
      <c r="J3" s="186"/>
    </row>
    <row r="4" spans="1:11">
      <c r="A4" s="170">
        <v>2002</v>
      </c>
      <c r="B4" s="211">
        <f>((B$7-B$2)/5)+B3</f>
        <v>1284920.6000000001</v>
      </c>
      <c r="C4" s="212" t="s">
        <v>165</v>
      </c>
      <c r="D4" s="212">
        <f t="shared" si="0"/>
        <v>582830.18021582207</v>
      </c>
      <c r="E4" s="211">
        <f>((E$7-E$2)/5)+E3</f>
        <v>9185440.4000000004</v>
      </c>
      <c r="F4" s="170" t="s">
        <v>166</v>
      </c>
      <c r="G4" s="212">
        <f t="shared" si="1"/>
        <v>4166445.6805297486</v>
      </c>
      <c r="H4" s="213">
        <f t="shared" si="2"/>
        <v>4749275.8607455706</v>
      </c>
      <c r="I4" s="170" t="s">
        <v>168</v>
      </c>
    </row>
    <row r="5" spans="1:11">
      <c r="A5" s="170">
        <v>2003</v>
      </c>
      <c r="B5" s="211">
        <f>((B$7-B$2)/5)+B4</f>
        <v>954989.40000000014</v>
      </c>
      <c r="C5" s="212" t="s">
        <v>165</v>
      </c>
      <c r="D5" s="212">
        <f t="shared" si="0"/>
        <v>433175.90527087811</v>
      </c>
      <c r="E5" s="211">
        <f t="shared" ref="E5:E6" si="3">((E$7-E$2)/5)+E4</f>
        <v>12293030.600000001</v>
      </c>
      <c r="F5" s="170" t="s">
        <v>166</v>
      </c>
      <c r="G5" s="212">
        <f t="shared" si="1"/>
        <v>5576024.8843365228</v>
      </c>
      <c r="H5" s="213">
        <f t="shared" si="2"/>
        <v>6009200.789607401</v>
      </c>
      <c r="I5" s="170" t="s">
        <v>168</v>
      </c>
    </row>
    <row r="6" spans="1:11">
      <c r="A6" s="170">
        <v>2004</v>
      </c>
      <c r="B6" s="211">
        <f>((B$7-B$2)/5)+B5</f>
        <v>625058.20000000019</v>
      </c>
      <c r="C6" s="212" t="s">
        <v>165</v>
      </c>
      <c r="D6" s="212">
        <f t="shared" si="0"/>
        <v>283521.63032593409</v>
      </c>
      <c r="E6" s="211">
        <f t="shared" si="3"/>
        <v>15400620.800000001</v>
      </c>
      <c r="F6" s="170" t="s">
        <v>166</v>
      </c>
      <c r="G6" s="212">
        <f t="shared" si="1"/>
        <v>6985604.0881432965</v>
      </c>
      <c r="H6" s="213">
        <f t="shared" si="2"/>
        <v>7269125.7184692305</v>
      </c>
      <c r="I6" s="170" t="s">
        <v>168</v>
      </c>
      <c r="J6" s="186"/>
    </row>
    <row r="7" spans="1:11">
      <c r="A7" s="170">
        <v>2005</v>
      </c>
      <c r="B7" s="211">
        <v>295127</v>
      </c>
      <c r="C7" s="212" t="s">
        <v>165</v>
      </c>
      <c r="D7" s="212">
        <f t="shared" si="0"/>
        <v>133867.35538098999</v>
      </c>
      <c r="E7" s="211">
        <v>18508211</v>
      </c>
      <c r="F7" s="170" t="s">
        <v>166</v>
      </c>
      <c r="G7" s="212">
        <f t="shared" si="1"/>
        <v>8395183.2919500712</v>
      </c>
      <c r="H7" s="213">
        <f t="shared" si="2"/>
        <v>8529050.6473310608</v>
      </c>
      <c r="I7" s="170" t="s">
        <v>167</v>
      </c>
    </row>
    <row r="8" spans="1:11">
      <c r="A8" s="170">
        <v>2006</v>
      </c>
      <c r="B8" s="211">
        <v>1055440</v>
      </c>
      <c r="C8" s="212" t="s">
        <v>165</v>
      </c>
      <c r="D8" s="212">
        <f t="shared" si="0"/>
        <v>478739.53099280002</v>
      </c>
      <c r="E8" s="211">
        <v>20545049</v>
      </c>
      <c r="F8" s="170" t="s">
        <v>166</v>
      </c>
      <c r="G8" s="212">
        <f t="shared" si="1"/>
        <v>9319077.4676761311</v>
      </c>
      <c r="H8" s="213">
        <f t="shared" si="2"/>
        <v>9797816.9986689314</v>
      </c>
      <c r="I8" s="170" t="s">
        <v>167</v>
      </c>
    </row>
    <row r="9" spans="1:11">
      <c r="A9" s="170">
        <v>2007</v>
      </c>
      <c r="B9" s="211">
        <v>1259937</v>
      </c>
      <c r="C9" s="212" t="s">
        <v>165</v>
      </c>
      <c r="D9" s="212">
        <f t="shared" si="0"/>
        <v>571497.80988068995</v>
      </c>
      <c r="E9" s="211">
        <v>18822424</v>
      </c>
      <c r="F9" s="170" t="s">
        <v>166</v>
      </c>
      <c r="G9" s="212">
        <f t="shared" si="1"/>
        <v>8537707.9113048799</v>
      </c>
      <c r="H9" s="213">
        <f t="shared" si="2"/>
        <v>9109205.7211855706</v>
      </c>
      <c r="I9" s="170" t="s">
        <v>167</v>
      </c>
    </row>
    <row r="10" spans="1:11">
      <c r="A10" s="170">
        <v>2008</v>
      </c>
      <c r="B10" s="211">
        <v>638611</v>
      </c>
      <c r="C10" s="212" t="s">
        <v>165</v>
      </c>
      <c r="D10" s="212">
        <f t="shared" si="0"/>
        <v>289669.07699807</v>
      </c>
      <c r="E10" s="211">
        <v>17173322</v>
      </c>
      <c r="F10" s="170" t="s">
        <v>166</v>
      </c>
      <c r="G10" s="212">
        <f t="shared" si="1"/>
        <v>7789687.8267531404</v>
      </c>
      <c r="H10" s="213">
        <f t="shared" si="2"/>
        <v>8079356.9037512103</v>
      </c>
      <c r="I10" s="170" t="s">
        <v>167</v>
      </c>
    </row>
    <row r="11" spans="1:11">
      <c r="A11" s="170">
        <v>2009</v>
      </c>
      <c r="B11" s="211">
        <v>760960</v>
      </c>
      <c r="C11" s="212" t="s">
        <v>165</v>
      </c>
      <c r="D11" s="212">
        <f t="shared" si="0"/>
        <v>345165.64987520006</v>
      </c>
      <c r="E11" s="211">
        <v>15132705</v>
      </c>
      <c r="F11" s="170" t="s">
        <v>166</v>
      </c>
      <c r="G11" s="212">
        <f t="shared" si="1"/>
        <v>6864079.5254608504</v>
      </c>
      <c r="H11" s="213">
        <f t="shared" si="2"/>
        <v>7209245.1753360508</v>
      </c>
      <c r="I11" s="170" t="s">
        <v>167</v>
      </c>
    </row>
    <row r="12" spans="1:11">
      <c r="A12" s="170">
        <v>2010</v>
      </c>
      <c r="B12" s="211">
        <v>618958</v>
      </c>
      <c r="C12" s="212" t="s">
        <v>165</v>
      </c>
      <c r="D12" s="212">
        <f t="shared" si="0"/>
        <v>280754.62615045998</v>
      </c>
      <c r="E12" s="211">
        <v>13462145</v>
      </c>
      <c r="F12" s="170" t="s">
        <v>166</v>
      </c>
      <c r="G12" s="212">
        <f t="shared" si="1"/>
        <v>6106326.2558336509</v>
      </c>
      <c r="H12" s="213">
        <f t="shared" si="2"/>
        <v>6387080.8819841109</v>
      </c>
      <c r="I12" s="170" t="s">
        <v>167</v>
      </c>
    </row>
    <row r="13" spans="1:11">
      <c r="A13" s="170">
        <v>2011</v>
      </c>
      <c r="B13" s="211">
        <v>1221756</v>
      </c>
      <c r="C13" s="212" t="s">
        <v>165</v>
      </c>
      <c r="D13" s="212">
        <f t="shared" si="0"/>
        <v>554179.19960171997</v>
      </c>
      <c r="E13" s="211">
        <v>15327644</v>
      </c>
      <c r="F13" s="170" t="s">
        <v>166</v>
      </c>
      <c r="G13" s="212">
        <f t="shared" si="1"/>
        <v>6952502.36847628</v>
      </c>
      <c r="H13" s="213">
        <f t="shared" si="2"/>
        <v>7506681.5680780001</v>
      </c>
      <c r="I13" s="170" t="s">
        <v>167</v>
      </c>
    </row>
    <row r="14" spans="1:11">
      <c r="A14" s="170">
        <v>2012</v>
      </c>
      <c r="B14" s="211">
        <v>1073590</v>
      </c>
      <c r="C14" s="170" t="s">
        <v>169</v>
      </c>
      <c r="D14" s="212">
        <f t="shared" ref="D14:D23" si="4">B14</f>
        <v>1073590</v>
      </c>
      <c r="E14" s="211">
        <v>7688837</v>
      </c>
      <c r="F14" s="170" t="s">
        <v>169</v>
      </c>
      <c r="G14" s="214">
        <f t="shared" ref="G14:G23" si="5">E14</f>
        <v>7688837</v>
      </c>
      <c r="H14" s="213">
        <f t="shared" si="2"/>
        <v>8762427</v>
      </c>
      <c r="I14" s="170" t="s">
        <v>167</v>
      </c>
    </row>
    <row r="15" spans="1:11">
      <c r="A15" s="170">
        <v>2013</v>
      </c>
      <c r="B15" s="211">
        <v>4500808</v>
      </c>
      <c r="C15" s="170" t="s">
        <v>169</v>
      </c>
      <c r="D15" s="212">
        <f t="shared" si="4"/>
        <v>4500808</v>
      </c>
      <c r="E15" s="211">
        <v>8325957</v>
      </c>
      <c r="F15" s="170" t="s">
        <v>169</v>
      </c>
      <c r="G15" s="214">
        <f t="shared" si="5"/>
        <v>8325957</v>
      </c>
      <c r="H15" s="213">
        <f t="shared" si="2"/>
        <v>12826765</v>
      </c>
      <c r="I15" s="170" t="s">
        <v>167</v>
      </c>
    </row>
    <row r="16" spans="1:11">
      <c r="A16" s="170">
        <v>2014</v>
      </c>
      <c r="B16" s="215">
        <f>(B15+B17)/2</f>
        <v>4291351.5</v>
      </c>
      <c r="C16" s="170" t="s">
        <v>169</v>
      </c>
      <c r="D16" s="212">
        <f t="shared" si="4"/>
        <v>4291351.5</v>
      </c>
      <c r="E16" s="215">
        <f>(E15+E17)/2</f>
        <v>8485985.5</v>
      </c>
      <c r="F16" s="170" t="s">
        <v>169</v>
      </c>
      <c r="G16" s="214">
        <f t="shared" si="5"/>
        <v>8485985.5</v>
      </c>
      <c r="H16" s="213">
        <f t="shared" si="2"/>
        <v>12777337</v>
      </c>
      <c r="I16" s="170" t="s">
        <v>168</v>
      </c>
    </row>
    <row r="17" spans="1:9">
      <c r="A17" s="170">
        <v>2015</v>
      </c>
      <c r="B17" s="211">
        <v>4081895</v>
      </c>
      <c r="C17" s="170" t="s">
        <v>169</v>
      </c>
      <c r="D17" s="212">
        <f t="shared" si="4"/>
        <v>4081895</v>
      </c>
      <c r="E17" s="211">
        <v>8646014</v>
      </c>
      <c r="F17" s="170" t="s">
        <v>169</v>
      </c>
      <c r="G17" s="214">
        <f t="shared" si="5"/>
        <v>8646014</v>
      </c>
      <c r="H17" s="213">
        <f t="shared" si="2"/>
        <v>12727909</v>
      </c>
      <c r="I17" s="170" t="s">
        <v>167</v>
      </c>
    </row>
    <row r="18" spans="1:9">
      <c r="A18" s="170">
        <v>2016</v>
      </c>
      <c r="B18" s="215">
        <f>(B17+B19)/2</f>
        <v>2876917.5</v>
      </c>
      <c r="C18" s="170" t="s">
        <v>169</v>
      </c>
      <c r="D18" s="212">
        <f t="shared" si="4"/>
        <v>2876917.5</v>
      </c>
      <c r="E18" s="215">
        <f>(E17+E19)/2</f>
        <v>9011373.5</v>
      </c>
      <c r="F18" s="170" t="s">
        <v>169</v>
      </c>
      <c r="G18" s="214">
        <f t="shared" si="5"/>
        <v>9011373.5</v>
      </c>
      <c r="H18" s="213">
        <f t="shared" si="2"/>
        <v>11888291</v>
      </c>
      <c r="I18" s="170" t="s">
        <v>168</v>
      </c>
    </row>
    <row r="19" spans="1:9">
      <c r="A19" s="170">
        <v>2017</v>
      </c>
      <c r="B19" s="211">
        <v>1671940</v>
      </c>
      <c r="C19" s="170" t="s">
        <v>169</v>
      </c>
      <c r="D19" s="212">
        <f t="shared" si="4"/>
        <v>1671940</v>
      </c>
      <c r="E19" s="211">
        <v>9376733</v>
      </c>
      <c r="F19" s="170" t="s">
        <v>169</v>
      </c>
      <c r="G19" s="214">
        <f t="shared" si="5"/>
        <v>9376733</v>
      </c>
      <c r="H19" s="213">
        <f t="shared" si="2"/>
        <v>11048673</v>
      </c>
      <c r="I19" s="170" t="s">
        <v>167</v>
      </c>
    </row>
    <row r="20" spans="1:9">
      <c r="A20" s="170">
        <v>2018</v>
      </c>
      <c r="B20" s="211">
        <v>898868</v>
      </c>
      <c r="C20" s="170" t="s">
        <v>169</v>
      </c>
      <c r="D20" s="212">
        <f t="shared" si="4"/>
        <v>898868</v>
      </c>
      <c r="E20" s="211">
        <v>7090642</v>
      </c>
      <c r="F20" s="170" t="s">
        <v>169</v>
      </c>
      <c r="G20" s="214">
        <f t="shared" si="5"/>
        <v>7090642</v>
      </c>
      <c r="H20" s="213">
        <f t="shared" si="2"/>
        <v>7989510</v>
      </c>
      <c r="I20" s="170" t="s">
        <v>167</v>
      </c>
    </row>
    <row r="21" spans="1:9">
      <c r="A21" s="170">
        <v>2019</v>
      </c>
      <c r="B21" s="215">
        <f>(B20+B22)/2</f>
        <v>1323907</v>
      </c>
      <c r="C21" s="170" t="s">
        <v>169</v>
      </c>
      <c r="D21" s="212">
        <f t="shared" si="4"/>
        <v>1323907</v>
      </c>
      <c r="E21" s="215">
        <f>(E20+E22)/2</f>
        <v>4835120</v>
      </c>
      <c r="F21" s="170" t="s">
        <v>169</v>
      </c>
      <c r="G21" s="214">
        <f t="shared" si="5"/>
        <v>4835120</v>
      </c>
      <c r="H21" s="213">
        <f t="shared" si="2"/>
        <v>6159027</v>
      </c>
      <c r="I21" s="170" t="s">
        <v>168</v>
      </c>
    </row>
    <row r="22" spans="1:9">
      <c r="A22" s="170">
        <v>2020</v>
      </c>
      <c r="B22" s="211">
        <v>1748946</v>
      </c>
      <c r="C22" s="170" t="s">
        <v>169</v>
      </c>
      <c r="D22" s="212">
        <f t="shared" si="4"/>
        <v>1748946</v>
      </c>
      <c r="E22" s="211">
        <v>2579598</v>
      </c>
      <c r="F22" s="170" t="s">
        <v>169</v>
      </c>
      <c r="G22" s="214">
        <f t="shared" si="5"/>
        <v>2579598</v>
      </c>
      <c r="H22" s="213">
        <f t="shared" si="2"/>
        <v>4328544</v>
      </c>
      <c r="I22" s="170" t="s">
        <v>167</v>
      </c>
    </row>
    <row r="23" spans="1:9">
      <c r="A23" s="170">
        <v>2021</v>
      </c>
      <c r="B23" s="211">
        <v>1748946</v>
      </c>
      <c r="C23" s="170" t="s">
        <v>169</v>
      </c>
      <c r="D23" s="212">
        <f t="shared" si="4"/>
        <v>1748946</v>
      </c>
      <c r="E23" s="211">
        <v>2579598</v>
      </c>
      <c r="F23" s="170" t="s">
        <v>169</v>
      </c>
      <c r="G23" s="214">
        <f t="shared" si="5"/>
        <v>2579598</v>
      </c>
      <c r="H23" s="213">
        <f t="shared" si="2"/>
        <v>4328544</v>
      </c>
      <c r="I23" s="170"/>
    </row>
    <row r="24" spans="1:9">
      <c r="B24" s="17"/>
    </row>
    <row r="25" spans="1:9">
      <c r="B25" s="185" t="s">
        <v>170</v>
      </c>
    </row>
    <row r="27" spans="1:9">
      <c r="A27" s="394" t="s">
        <v>171</v>
      </c>
      <c r="B27" s="392" t="s">
        <v>172</v>
      </c>
      <c r="C27" s="393"/>
      <c r="D27" s="393"/>
      <c r="E27" s="393"/>
      <c r="F27" s="393"/>
      <c r="G27" s="393"/>
      <c r="H27" s="393"/>
    </row>
    <row r="28" spans="1:9" ht="30.75" customHeight="1">
      <c r="A28" s="394"/>
      <c r="B28" s="393"/>
      <c r="C28" s="393"/>
      <c r="D28" s="393"/>
      <c r="E28" s="393"/>
      <c r="F28" s="393"/>
      <c r="G28" s="393"/>
      <c r="H28" s="393"/>
    </row>
    <row r="29" spans="1:9">
      <c r="A29" s="394"/>
      <c r="B29" s="393"/>
      <c r="C29" s="393"/>
      <c r="D29" s="393"/>
      <c r="E29" s="393"/>
      <c r="F29" s="393"/>
      <c r="G29" s="393"/>
      <c r="H29" s="393"/>
    </row>
    <row r="30" spans="1:9" ht="40.5" customHeight="1">
      <c r="A30" s="394"/>
      <c r="B30" s="393"/>
      <c r="C30" s="393"/>
      <c r="D30" s="393"/>
      <c r="E30" s="393"/>
      <c r="F30" s="393"/>
      <c r="G30" s="393"/>
      <c r="H30" s="393"/>
    </row>
    <row r="32" spans="1:9">
      <c r="A32" t="s">
        <v>173</v>
      </c>
      <c r="B32" s="187" t="s">
        <v>174</v>
      </c>
    </row>
  </sheetData>
  <mergeCells count="2">
    <mergeCell ref="B27:H30"/>
    <mergeCell ref="A27:A30"/>
  </mergeCells>
  <hyperlinks>
    <hyperlink ref="B32" r:id="rId1" xr:uid="{0774954C-637F-42BD-9D79-36C6BCC3A21E}"/>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MARGIE</dc:creator>
  <cp:keywords/>
  <dc:description/>
  <cp:lastModifiedBy>UTCUTS Panamá</cp:lastModifiedBy>
  <cp:revision/>
  <dcterms:created xsi:type="dcterms:W3CDTF">2020-09-17T16:12:16Z</dcterms:created>
  <dcterms:modified xsi:type="dcterms:W3CDTF">2024-04-19T20:45:36Z</dcterms:modified>
  <cp:category/>
  <cp:contentStatus/>
</cp:coreProperties>
</file>