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iagrams/data2.xml" ContentType="application/vnd.openxmlformats-officedocument.drawingml.diagramData+xml"/>
  <Override PartName="/xl/diagrams/data1.xml" ContentType="application/vnd.openxmlformats-officedocument.drawingml.diagramData+xml"/>
  <Override PartName="/xl/diagrams/layout2.xml" ContentType="application/vnd.openxmlformats-officedocument.drawingml.diagramLayout+xml"/>
  <Override PartName="/xl/diagrams/layout1.xml" ContentType="application/vnd.openxmlformats-officedocument.drawingml.diagramLayout+xml"/>
  <Override PartName="/xl/diagrams/quickStyle2.xml" ContentType="application/vnd.openxmlformats-officedocument.drawingml.diagramStyle+xml"/>
  <Override PartName="/xl/diagrams/quickStyle1.xml" ContentType="application/vnd.openxmlformats-officedocument.drawingml.diagramStyle+xml"/>
  <Override PartName="/xl/diagrams/colors1.xml" ContentType="application/vnd.openxmlformats-officedocument.drawingml.diagramColors+xml"/>
  <Override PartName="/xl/diagrams/colors2.xml" ContentType="application/vnd.openxmlformats-officedocument.drawingml.diagramColors+xml"/>
  <Override PartName="/xl/diagrams/drawing1.xml" ContentType="application/vnd.ms-office.drawingml.diagramDrawing+xml"/>
  <Override PartName="/xl/diagrams/drawing2.xml" ContentType="application/vnd.ms-office.drawingml.diagram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203"/>
  <workbookPr codeName="ThisWorkbook"/>
  <mc:AlternateContent xmlns:mc="http://schemas.openxmlformats.org/markup-compatibility/2006">
    <mc:Choice Requires="x15">
      <x15ac:absPath xmlns:x15ac="http://schemas.microsoft.com/office/spreadsheetml/2010/11/ac" url="C:\Users\jcmojica\Desktop\"/>
    </mc:Choice>
  </mc:AlternateContent>
  <xr:revisionPtr revIDLastSave="0" documentId="8_{212CF847-BA56-4AE7-8A35-EA189CFBB581}" xr6:coauthVersionLast="47" xr6:coauthVersionMax="47" xr10:uidLastSave="{00000000-0000-0000-0000-000000000000}"/>
  <workbookProtection workbookAlgorithmName="SHA-512" workbookHashValue="tqSDViV75Rg4usWjzOtVNGXADRaJ9r0eyGgc68xLIkara8FjguAKx8AOm9mHx73noSCdHy0rv7X5P9swMu167w==" workbookSaltValue="InsE8Qblz7uFzSU6TRHBcA==" workbookSpinCount="100000" lockStructure="1"/>
  <bookViews>
    <workbookView xWindow="0" yWindow="0" windowWidth="7185" windowHeight="435" firstSheet="1" activeTab="1" xr2:uid="{00000000-000D-0000-FFFF-FFFF00000000}"/>
  </bookViews>
  <sheets>
    <sheet name="INSTRUCCIONES" sheetId="10" r:id="rId1"/>
    <sheet name="EMISIONES" sheetId="4" r:id="rId2"/>
    <sheet name="REDUCCIONES" sheetId="8" r:id="rId3"/>
    <sheet name="RESUMEN RESULTADOS " sheetId="7" r:id="rId4"/>
    <sheet name="Otros factores" sheetId="6" state="hidden" r:id="rId5"/>
  </sheets>
  <externalReferences>
    <externalReference r:id="rId6"/>
  </externalReferences>
  <definedNames>
    <definedName name="_xlnm.Print_Area" localSheetId="1">EMISIONES!$A$1:$CB$125</definedName>
    <definedName name="_xlnm.Print_Area" localSheetId="3">'RESUMEN RESULTADOS '!$A$1:$K$122</definedName>
    <definedName name="CATEGORIA" localSheetId="3">[1]FORMATO!$B$261:$B$268</definedName>
    <definedName name="CATEGORIA">#REF!</definedName>
    <definedName name="CATEGORIAS">#REF!</definedName>
    <definedName name="Combustibles_Gaseosos">#REF!</definedName>
    <definedName name="Combustibles_Liquidos">#REF!</definedName>
    <definedName name="Combustibles_Solidos">#REF!</definedName>
    <definedName name="Energia_Electrica">#REF!</definedName>
    <definedName name="Gases_Refrigerantes">#REF!</definedName>
    <definedName name="Otras">#REF!</definedName>
    <definedName name="Procesos_Agropecuarios">#REF!</definedName>
    <definedName name="Tratamiento_de_Residuos">#REF!</definedName>
    <definedName name="Tratamiento_Residu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5" i="6" l="1"/>
  <c r="I35" i="6" s="1"/>
  <c r="D35" i="6"/>
  <c r="C35" i="6"/>
  <c r="G34" i="6"/>
  <c r="I34" i="6" s="1"/>
  <c r="D34" i="6"/>
  <c r="C34" i="6"/>
  <c r="G33" i="6"/>
  <c r="I33" i="6" s="1"/>
  <c r="D33" i="6"/>
  <c r="C33" i="6"/>
  <c r="G32" i="6"/>
  <c r="I32" i="6" s="1"/>
  <c r="D32" i="6"/>
  <c r="C32" i="6"/>
  <c r="G31" i="6"/>
  <c r="I31" i="6" s="1"/>
  <c r="D31" i="6"/>
  <c r="C31" i="6"/>
  <c r="G30" i="6"/>
  <c r="I30" i="6" s="1"/>
  <c r="D30" i="6"/>
  <c r="C30" i="6"/>
  <c r="G29" i="6"/>
  <c r="I29" i="6" s="1"/>
  <c r="D29" i="6"/>
  <c r="C29" i="6"/>
  <c r="G28" i="6"/>
  <c r="I28" i="6" s="1"/>
  <c r="D28" i="6"/>
  <c r="C28" i="6"/>
  <c r="G27" i="6"/>
  <c r="I27" i="6" s="1"/>
  <c r="D27" i="6"/>
  <c r="C27" i="6"/>
  <c r="G26" i="6"/>
  <c r="I26" i="6" s="1"/>
  <c r="D26" i="6"/>
  <c r="C26" i="6"/>
  <c r="G25" i="6"/>
  <c r="I25" i="6" s="1"/>
  <c r="D25" i="6"/>
  <c r="C25" i="6"/>
  <c r="G24" i="6"/>
  <c r="I24" i="6" s="1"/>
  <c r="D24" i="6"/>
  <c r="C24" i="6"/>
  <c r="G23" i="6"/>
  <c r="I23" i="6" s="1"/>
  <c r="D23" i="6"/>
  <c r="C23" i="6"/>
  <c r="G22" i="6"/>
  <c r="I22" i="6" s="1"/>
  <c r="D22" i="6"/>
  <c r="C22" i="6"/>
  <c r="G21" i="6"/>
  <c r="I21" i="6" s="1"/>
  <c r="D21" i="6"/>
  <c r="C21" i="6"/>
  <c r="G20" i="6"/>
  <c r="I20" i="6" s="1"/>
  <c r="D20" i="6"/>
  <c r="C20" i="6"/>
  <c r="G19" i="6"/>
  <c r="I19" i="6" s="1"/>
  <c r="D19" i="6"/>
  <c r="C19" i="6"/>
  <c r="G18" i="6"/>
  <c r="I18" i="6" s="1"/>
  <c r="D18" i="6"/>
  <c r="C18" i="6"/>
  <c r="G17" i="6"/>
  <c r="I17" i="6" s="1"/>
  <c r="D17" i="6"/>
  <c r="C17" i="6"/>
  <c r="G16" i="6"/>
  <c r="I16" i="6" s="1"/>
  <c r="D16" i="6"/>
  <c r="C16" i="6"/>
  <c r="G15" i="6"/>
  <c r="I15" i="6" s="1"/>
  <c r="D15" i="6"/>
  <c r="C15" i="6"/>
  <c r="G14" i="6"/>
  <c r="I14" i="6" s="1"/>
  <c r="D14" i="6"/>
  <c r="C14" i="6"/>
  <c r="G13" i="6"/>
  <c r="I13" i="6" s="1"/>
  <c r="D13" i="6"/>
  <c r="C13" i="6"/>
  <c r="G12" i="6"/>
  <c r="I12" i="6" s="1"/>
  <c r="D12" i="6"/>
  <c r="C12" i="6"/>
  <c r="G11" i="6"/>
  <c r="I11" i="6" s="1"/>
  <c r="D11" i="6"/>
  <c r="C11" i="6"/>
  <c r="G10" i="6"/>
  <c r="I10" i="6" s="1"/>
  <c r="D10" i="6"/>
  <c r="C10" i="6"/>
  <c r="G9" i="6"/>
  <c r="I9" i="6" s="1"/>
  <c r="D9" i="6"/>
  <c r="C9" i="6"/>
  <c r="G8" i="6"/>
  <c r="I8" i="6" s="1"/>
  <c r="D8" i="6"/>
  <c r="C8" i="6"/>
  <c r="G7" i="6"/>
  <c r="I7" i="6" s="1"/>
  <c r="D7" i="6"/>
  <c r="C7" i="6"/>
  <c r="G6" i="6"/>
  <c r="I6" i="6" s="1"/>
  <c r="D6" i="6"/>
  <c r="C6" i="6"/>
  <c r="C14" i="7"/>
  <c r="I12" i="7"/>
  <c r="P33" i="8"/>
  <c r="C15" i="7" s="1"/>
  <c r="J10" i="8"/>
  <c r="C10" i="8"/>
  <c r="C9" i="8"/>
  <c r="J8" i="8"/>
  <c r="C8" i="8"/>
  <c r="J7" i="8"/>
  <c r="C7" i="8"/>
  <c r="J6" i="8"/>
  <c r="C6" i="8"/>
  <c r="DK465" i="4"/>
  <c r="DK464" i="4"/>
  <c r="DK463" i="4"/>
  <c r="DK462" i="4"/>
  <c r="DK461" i="4"/>
  <c r="DK460" i="4"/>
  <c r="DK459" i="4"/>
  <c r="DK458" i="4"/>
  <c r="DK457" i="4"/>
  <c r="DK456" i="4"/>
  <c r="DK455" i="4"/>
  <c r="DK454" i="4"/>
  <c r="DK453" i="4"/>
  <c r="DK452" i="4"/>
  <c r="DK451" i="4"/>
  <c r="DK450" i="4"/>
  <c r="DK449" i="4"/>
  <c r="DK448" i="4"/>
  <c r="DK447" i="4"/>
  <c r="DK446" i="4"/>
  <c r="DK445" i="4"/>
  <c r="DK444" i="4"/>
  <c r="DK443" i="4"/>
  <c r="DK442" i="4"/>
  <c r="DK441" i="4"/>
  <c r="DK440" i="4"/>
  <c r="DK439" i="4"/>
  <c r="DK438" i="4"/>
  <c r="DK437" i="4"/>
  <c r="DK436" i="4"/>
  <c r="DK435" i="4"/>
  <c r="DK434" i="4"/>
  <c r="DK433" i="4"/>
  <c r="DK432" i="4"/>
  <c r="DK431" i="4"/>
  <c r="DK430" i="4"/>
  <c r="DK429" i="4"/>
  <c r="DK428" i="4"/>
  <c r="DK427" i="4"/>
  <c r="DK426" i="4"/>
  <c r="DK425" i="4"/>
  <c r="DK424" i="4"/>
  <c r="DK423" i="4"/>
  <c r="DK422" i="4"/>
  <c r="DK421" i="4"/>
  <c r="DK420" i="4"/>
  <c r="DK419" i="4"/>
  <c r="DK418" i="4"/>
  <c r="DK417" i="4"/>
  <c r="DK416" i="4"/>
  <c r="DK415" i="4"/>
  <c r="DK398" i="4"/>
  <c r="DK397" i="4"/>
  <c r="DK396" i="4"/>
  <c r="EE395" i="4"/>
  <c r="DK395" i="4"/>
  <c r="EE394" i="4"/>
  <c r="DU394" i="4" s="1"/>
  <c r="DK394" i="4"/>
  <c r="DK393" i="4"/>
  <c r="DK392" i="4"/>
  <c r="CF392" i="4"/>
  <c r="DK391" i="4"/>
  <c r="CF391" i="4"/>
  <c r="DK390" i="4"/>
  <c r="CF390" i="4"/>
  <c r="DK389" i="4"/>
  <c r="CF389" i="4"/>
  <c r="DK388" i="4"/>
  <c r="CF388" i="4"/>
  <c r="DK387" i="4"/>
  <c r="CF387" i="4"/>
  <c r="DK386" i="4"/>
  <c r="CF386" i="4"/>
  <c r="DK385" i="4"/>
  <c r="CF385" i="4"/>
  <c r="DK384" i="4"/>
  <c r="CF384" i="4"/>
  <c r="DK383" i="4"/>
  <c r="CF383" i="4"/>
  <c r="EE382" i="4"/>
  <c r="DK382" i="4"/>
  <c r="DK381" i="4"/>
  <c r="EE380" i="4"/>
  <c r="DK380" i="4"/>
  <c r="DK379" i="4"/>
  <c r="CT378" i="4"/>
  <c r="CS378" i="4"/>
  <c r="CQ378" i="4"/>
  <c r="DI378" i="4" s="1"/>
  <c r="CN378" i="4"/>
  <c r="CM378" i="4"/>
  <c r="CK378" i="4"/>
  <c r="CI378" i="4"/>
  <c r="DK378" i="4" s="1"/>
  <c r="CH378" i="4"/>
  <c r="CF378" i="4"/>
  <c r="CT377" i="4"/>
  <c r="CS377" i="4"/>
  <c r="CQ377" i="4"/>
  <c r="DI377" i="4" s="1"/>
  <c r="CN377" i="4"/>
  <c r="CM377" i="4"/>
  <c r="CK377" i="4"/>
  <c r="CI377" i="4"/>
  <c r="DK377" i="4" s="1"/>
  <c r="CH377" i="4"/>
  <c r="CF377" i="4"/>
  <c r="CI376" i="4"/>
  <c r="DK376" i="4" s="1"/>
  <c r="CH376" i="4"/>
  <c r="BR376" i="4"/>
  <c r="CF376" i="4" s="1"/>
  <c r="CI375" i="4"/>
  <c r="DK375" i="4" s="1"/>
  <c r="CH375" i="4"/>
  <c r="CF375" i="4"/>
  <c r="CI374" i="4"/>
  <c r="DK374" i="4" s="1"/>
  <c r="CH374" i="4"/>
  <c r="CF374" i="4"/>
  <c r="CN373" i="4"/>
  <c r="CM373" i="4"/>
  <c r="CK373" i="4"/>
  <c r="CI373" i="4"/>
  <c r="DK373" i="4" s="1"/>
  <c r="CH373" i="4"/>
  <c r="CF373" i="4"/>
  <c r="CN372" i="4"/>
  <c r="CM372" i="4"/>
  <c r="CK372" i="4"/>
  <c r="CI372" i="4"/>
  <c r="DK372" i="4" s="1"/>
  <c r="CH372" i="4"/>
  <c r="CF372" i="4"/>
  <c r="BJ372" i="4"/>
  <c r="BI372" i="4"/>
  <c r="BH372" i="4"/>
  <c r="BG372" i="4"/>
  <c r="BF372" i="4"/>
  <c r="BE372" i="4"/>
  <c r="BC372" i="4"/>
  <c r="BB372" i="4"/>
  <c r="BA372" i="4"/>
  <c r="AZ372" i="4"/>
  <c r="AY372" i="4"/>
  <c r="AX372" i="4"/>
  <c r="AV372" i="4"/>
  <c r="AU372" i="4"/>
  <c r="ED371" i="4"/>
  <c r="DK371" i="4"/>
  <c r="BJ371" i="4"/>
  <c r="BI371" i="4"/>
  <c r="BH371" i="4"/>
  <c r="BG371" i="4"/>
  <c r="BF371" i="4"/>
  <c r="BE371" i="4"/>
  <c r="BC371" i="4"/>
  <c r="BB371" i="4"/>
  <c r="BA371" i="4"/>
  <c r="AZ371" i="4"/>
  <c r="AY371" i="4"/>
  <c r="AX371" i="4"/>
  <c r="AV371" i="4"/>
  <c r="AU371" i="4"/>
  <c r="DK370" i="4"/>
  <c r="BJ370" i="4"/>
  <c r="BI370" i="4"/>
  <c r="BH370" i="4"/>
  <c r="BG370" i="4"/>
  <c r="BF370" i="4"/>
  <c r="BE370" i="4"/>
  <c r="BC370" i="4"/>
  <c r="BB370" i="4"/>
  <c r="BA370" i="4"/>
  <c r="AZ370" i="4"/>
  <c r="AY370" i="4"/>
  <c r="AX370" i="4"/>
  <c r="AV370" i="4"/>
  <c r="AU370" i="4"/>
  <c r="ED369" i="4"/>
  <c r="DK369" i="4"/>
  <c r="BJ369" i="4"/>
  <c r="BJ360" i="4" s="1"/>
  <c r="BI369" i="4"/>
  <c r="BI360" i="4" s="1"/>
  <c r="BH369" i="4"/>
  <c r="BH360" i="4" s="1"/>
  <c r="BG369" i="4"/>
  <c r="BG360" i="4" s="1"/>
  <c r="BF369" i="4"/>
  <c r="BF360" i="4" s="1"/>
  <c r="BE369" i="4"/>
  <c r="BE360" i="4" s="1"/>
  <c r="BC369" i="4"/>
  <c r="BC360" i="4" s="1"/>
  <c r="BB369" i="4"/>
  <c r="BA369" i="4"/>
  <c r="AZ369" i="4"/>
  <c r="AY369" i="4"/>
  <c r="AY360" i="4" s="1"/>
  <c r="AX369" i="4"/>
  <c r="AX360" i="4" s="1"/>
  <c r="AV369" i="4"/>
  <c r="AU369" i="4"/>
  <c r="AU360" i="4" s="1"/>
  <c r="AK369" i="4"/>
  <c r="AK360" i="4" s="1"/>
  <c r="AJ369" i="4"/>
  <c r="AJ360" i="4" s="1"/>
  <c r="AH369" i="4"/>
  <c r="AH360" i="4" s="1"/>
  <c r="AG369" i="4"/>
  <c r="AG360" i="4" s="1"/>
  <c r="AF369" i="4"/>
  <c r="AF360" i="4" s="1"/>
  <c r="AE369" i="4"/>
  <c r="AE360" i="4" s="1"/>
  <c r="AD369" i="4"/>
  <c r="AD360" i="4" s="1"/>
  <c r="AC369" i="4"/>
  <c r="AC360" i="4" s="1"/>
  <c r="AB369" i="4"/>
  <c r="AB360" i="4" s="1"/>
  <c r="AA369" i="4"/>
  <c r="AA360" i="4" s="1"/>
  <c r="Z369" i="4"/>
  <c r="Z360" i="4" s="1"/>
  <c r="Y369" i="4"/>
  <c r="Y360" i="4" s="1"/>
  <c r="X369" i="4"/>
  <c r="X360" i="4" s="1"/>
  <c r="W369" i="4"/>
  <c r="W360" i="4" s="1"/>
  <c r="V369" i="4"/>
  <c r="V360" i="4" s="1"/>
  <c r="U369" i="4"/>
  <c r="U360" i="4" s="1"/>
  <c r="DK368" i="4"/>
  <c r="BJ368" i="4"/>
  <c r="BJ359" i="4" s="1"/>
  <c r="BI368" i="4"/>
  <c r="BI359" i="4" s="1"/>
  <c r="BH368" i="4"/>
  <c r="BH359" i="4" s="1"/>
  <c r="BG368" i="4"/>
  <c r="BG359" i="4" s="1"/>
  <c r="BF368" i="4"/>
  <c r="BF359" i="4" s="1"/>
  <c r="BE368" i="4"/>
  <c r="BE359" i="4" s="1"/>
  <c r="BC368" i="4"/>
  <c r="BC359" i="4" s="1"/>
  <c r="BB368" i="4"/>
  <c r="BB359" i="4" s="1"/>
  <c r="BA368" i="4"/>
  <c r="BA359" i="4" s="1"/>
  <c r="AZ368" i="4"/>
  <c r="AY368" i="4"/>
  <c r="AY359" i="4" s="1"/>
  <c r="AX368" i="4"/>
  <c r="AX359" i="4" s="1"/>
  <c r="AV368" i="4"/>
  <c r="AV359" i="4" s="1"/>
  <c r="AU368" i="4"/>
  <c r="AK368" i="4"/>
  <c r="AK359" i="4" s="1"/>
  <c r="AJ368" i="4"/>
  <c r="AJ359" i="4" s="1"/>
  <c r="AH368" i="4"/>
  <c r="AH359" i="4" s="1"/>
  <c r="AG368" i="4"/>
  <c r="AG359" i="4" s="1"/>
  <c r="AF368" i="4"/>
  <c r="AF359" i="4" s="1"/>
  <c r="AE368" i="4"/>
  <c r="AE359" i="4" s="1"/>
  <c r="AD368" i="4"/>
  <c r="AD359" i="4" s="1"/>
  <c r="AC368" i="4"/>
  <c r="AC359" i="4" s="1"/>
  <c r="AB368" i="4"/>
  <c r="AB359" i="4" s="1"/>
  <c r="AA368" i="4"/>
  <c r="AA359" i="4" s="1"/>
  <c r="Z368" i="4"/>
  <c r="Z359" i="4" s="1"/>
  <c r="Y368" i="4"/>
  <c r="Y359" i="4" s="1"/>
  <c r="X368" i="4"/>
  <c r="X359" i="4" s="1"/>
  <c r="W368" i="4"/>
  <c r="W359" i="4" s="1"/>
  <c r="V368" i="4"/>
  <c r="V359" i="4" s="1"/>
  <c r="U368" i="4"/>
  <c r="U359" i="4" s="1"/>
  <c r="DK367" i="4"/>
  <c r="BJ367" i="4"/>
  <c r="BJ358" i="4" s="1"/>
  <c r="BI367" i="4"/>
  <c r="BI358" i="4" s="1"/>
  <c r="BH367" i="4"/>
  <c r="BH358" i="4" s="1"/>
  <c r="BG367" i="4"/>
  <c r="BG358" i="4" s="1"/>
  <c r="BF367" i="4"/>
  <c r="BF358" i="4" s="1"/>
  <c r="BE367" i="4"/>
  <c r="BE358" i="4" s="1"/>
  <c r="BC367" i="4"/>
  <c r="BC358" i="4" s="1"/>
  <c r="BB367" i="4"/>
  <c r="BB358" i="4" s="1"/>
  <c r="BA367" i="4"/>
  <c r="AZ367" i="4"/>
  <c r="AZ358" i="4" s="1"/>
  <c r="AY367" i="4"/>
  <c r="AY358" i="4" s="1"/>
  <c r="AX367" i="4"/>
  <c r="AX358" i="4" s="1"/>
  <c r="AV367" i="4"/>
  <c r="AV358" i="4" s="1"/>
  <c r="AU367" i="4"/>
  <c r="AU358" i="4" s="1"/>
  <c r="AK367" i="4"/>
  <c r="AK358" i="4" s="1"/>
  <c r="AJ367" i="4"/>
  <c r="AJ358" i="4" s="1"/>
  <c r="AH367" i="4"/>
  <c r="AH358" i="4" s="1"/>
  <c r="AG367" i="4"/>
  <c r="AG358" i="4" s="1"/>
  <c r="AF367" i="4"/>
  <c r="AF358" i="4" s="1"/>
  <c r="AE367" i="4"/>
  <c r="AE358" i="4" s="1"/>
  <c r="AD367" i="4"/>
  <c r="AD358" i="4" s="1"/>
  <c r="AC367" i="4"/>
  <c r="AC358" i="4" s="1"/>
  <c r="AB367" i="4"/>
  <c r="AB358" i="4" s="1"/>
  <c r="AA367" i="4"/>
  <c r="AA358" i="4" s="1"/>
  <c r="Z367" i="4"/>
  <c r="Z358" i="4" s="1"/>
  <c r="Y367" i="4"/>
  <c r="Y358" i="4" s="1"/>
  <c r="X367" i="4"/>
  <c r="X358" i="4" s="1"/>
  <c r="W367" i="4"/>
  <c r="W358" i="4" s="1"/>
  <c r="V367" i="4"/>
  <c r="V358" i="4" s="1"/>
  <c r="U367" i="4"/>
  <c r="U358" i="4" s="1"/>
  <c r="DY366" i="4"/>
  <c r="EA366" i="4" s="1"/>
  <c r="EC366" i="4" s="1"/>
  <c r="DV366" i="4"/>
  <c r="DU366" i="4"/>
  <c r="CD366" i="4"/>
  <c r="BJ366" i="4"/>
  <c r="BI366" i="4"/>
  <c r="BH366" i="4"/>
  <c r="BG366" i="4"/>
  <c r="BF366" i="4"/>
  <c r="BE366" i="4"/>
  <c r="BC366" i="4"/>
  <c r="BB366" i="4"/>
  <c r="BA366" i="4"/>
  <c r="AZ366" i="4"/>
  <c r="AY366" i="4"/>
  <c r="AX366" i="4"/>
  <c r="AV366" i="4"/>
  <c r="AU366" i="4"/>
  <c r="AK366" i="4"/>
  <c r="AJ366" i="4"/>
  <c r="AH366" i="4"/>
  <c r="AG366" i="4"/>
  <c r="AF366" i="4"/>
  <c r="AE366" i="4"/>
  <c r="AD366" i="4"/>
  <c r="AC366" i="4"/>
  <c r="AB366" i="4"/>
  <c r="AA366" i="4"/>
  <c r="Z366" i="4"/>
  <c r="Y366" i="4"/>
  <c r="X366" i="4"/>
  <c r="W366" i="4"/>
  <c r="V366" i="4"/>
  <c r="U366" i="4"/>
  <c r="DY365" i="4"/>
  <c r="EA365" i="4" s="1"/>
  <c r="EB365" i="4" s="1"/>
  <c r="DV365" i="4"/>
  <c r="DU365" i="4"/>
  <c r="CD365" i="4"/>
  <c r="BJ365" i="4"/>
  <c r="BI365" i="4"/>
  <c r="BH365" i="4"/>
  <c r="BG365" i="4"/>
  <c r="BF365" i="4"/>
  <c r="BE365" i="4"/>
  <c r="BC365" i="4"/>
  <c r="BB365" i="4"/>
  <c r="BA365" i="4"/>
  <c r="AZ365" i="4"/>
  <c r="AY365" i="4"/>
  <c r="AX365" i="4"/>
  <c r="AV365" i="4"/>
  <c r="AU365" i="4"/>
  <c r="AK365" i="4"/>
  <c r="AJ365" i="4"/>
  <c r="AH365" i="4"/>
  <c r="AG365" i="4"/>
  <c r="AF365" i="4"/>
  <c r="AE365" i="4"/>
  <c r="AD365" i="4"/>
  <c r="AC365" i="4"/>
  <c r="AB365" i="4"/>
  <c r="AA365" i="4"/>
  <c r="Z365" i="4"/>
  <c r="Y365" i="4"/>
  <c r="X365" i="4"/>
  <c r="W365" i="4"/>
  <c r="V365" i="4"/>
  <c r="U365" i="4"/>
  <c r="DY364" i="4"/>
  <c r="EA364" i="4" s="1"/>
  <c r="EB364" i="4" s="1"/>
  <c r="DV364" i="4"/>
  <c r="DU364" i="4"/>
  <c r="CD364" i="4"/>
  <c r="BJ364" i="4"/>
  <c r="BI364" i="4"/>
  <c r="BH364" i="4"/>
  <c r="BG364" i="4"/>
  <c r="BF364" i="4"/>
  <c r="BE364" i="4"/>
  <c r="BC364" i="4"/>
  <c r="BB364" i="4"/>
  <c r="BA364" i="4"/>
  <c r="AZ364" i="4"/>
  <c r="AY364" i="4"/>
  <c r="AX364" i="4"/>
  <c r="AV364" i="4"/>
  <c r="AU364" i="4"/>
  <c r="AK364" i="4"/>
  <c r="AJ364" i="4"/>
  <c r="AH364" i="4"/>
  <c r="AG364" i="4"/>
  <c r="AF364" i="4"/>
  <c r="AE364" i="4"/>
  <c r="AD364" i="4"/>
  <c r="AC364" i="4"/>
  <c r="AB364" i="4"/>
  <c r="AA364" i="4"/>
  <c r="Z364" i="4"/>
  <c r="Y364" i="4"/>
  <c r="X364" i="4"/>
  <c r="W364" i="4"/>
  <c r="V364" i="4"/>
  <c r="U364" i="4"/>
  <c r="DY363" i="4"/>
  <c r="EA363" i="4" s="1"/>
  <c r="EB363" i="4" s="1"/>
  <c r="DV363" i="4"/>
  <c r="DU363" i="4"/>
  <c r="CD363" i="4"/>
  <c r="BJ363" i="4"/>
  <c r="BI363" i="4"/>
  <c r="BH363" i="4"/>
  <c r="BG363" i="4"/>
  <c r="BF363" i="4"/>
  <c r="BE363" i="4"/>
  <c r="BC363" i="4"/>
  <c r="BB363" i="4"/>
  <c r="BA363" i="4"/>
  <c r="AZ363" i="4"/>
  <c r="AY363" i="4"/>
  <c r="AX363" i="4"/>
  <c r="AV363" i="4"/>
  <c r="AU363" i="4"/>
  <c r="AK363" i="4"/>
  <c r="AJ363" i="4"/>
  <c r="AH363" i="4"/>
  <c r="AG363" i="4"/>
  <c r="AF363" i="4"/>
  <c r="AE363" i="4"/>
  <c r="AD363" i="4"/>
  <c r="AC363" i="4"/>
  <c r="AB363" i="4"/>
  <c r="AA363" i="4"/>
  <c r="Z363" i="4"/>
  <c r="Y363" i="4"/>
  <c r="X363" i="4"/>
  <c r="W363" i="4"/>
  <c r="V363" i="4"/>
  <c r="U363" i="4"/>
  <c r="DY362" i="4"/>
  <c r="EA362" i="4" s="1"/>
  <c r="EB362" i="4" s="1"/>
  <c r="DV362" i="4"/>
  <c r="DU362" i="4"/>
  <c r="CD362" i="4"/>
  <c r="BJ362" i="4"/>
  <c r="BI362" i="4"/>
  <c r="BH362" i="4"/>
  <c r="BG362" i="4"/>
  <c r="BF362" i="4"/>
  <c r="BE362" i="4"/>
  <c r="BC362" i="4"/>
  <c r="BB362" i="4"/>
  <c r="BA362" i="4"/>
  <c r="AZ362" i="4"/>
  <c r="AY362" i="4"/>
  <c r="AX362" i="4"/>
  <c r="AV362" i="4"/>
  <c r="AU362" i="4"/>
  <c r="AK362" i="4"/>
  <c r="AJ362" i="4"/>
  <c r="AH362" i="4"/>
  <c r="AG362" i="4"/>
  <c r="AF362" i="4"/>
  <c r="AE362" i="4"/>
  <c r="AD362" i="4"/>
  <c r="AC362" i="4"/>
  <c r="AB362" i="4"/>
  <c r="AA362" i="4"/>
  <c r="Z362" i="4"/>
  <c r="Y362" i="4"/>
  <c r="X362" i="4"/>
  <c r="W362" i="4"/>
  <c r="V362" i="4"/>
  <c r="U362" i="4"/>
  <c r="DY361" i="4"/>
  <c r="EA361" i="4" s="1"/>
  <c r="DV361" i="4"/>
  <c r="DU361" i="4"/>
  <c r="CD361" i="4"/>
  <c r="BJ361" i="4"/>
  <c r="BI361" i="4"/>
  <c r="BH361" i="4"/>
  <c r="BG361" i="4"/>
  <c r="BF361" i="4"/>
  <c r="BE361" i="4"/>
  <c r="BC361" i="4"/>
  <c r="BB361" i="4"/>
  <c r="BA361" i="4"/>
  <c r="AZ361" i="4"/>
  <c r="AY361" i="4"/>
  <c r="AX361" i="4"/>
  <c r="AV361" i="4"/>
  <c r="AU361" i="4"/>
  <c r="AK361" i="4"/>
  <c r="AJ361" i="4"/>
  <c r="AH361" i="4"/>
  <c r="AG361" i="4"/>
  <c r="AF361" i="4"/>
  <c r="AE361" i="4"/>
  <c r="AD361" i="4"/>
  <c r="AC361" i="4"/>
  <c r="AB361" i="4"/>
  <c r="AA361" i="4"/>
  <c r="Z361" i="4"/>
  <c r="Y361" i="4"/>
  <c r="X361" i="4"/>
  <c r="W361" i="4"/>
  <c r="V361" i="4"/>
  <c r="U361" i="4"/>
  <c r="BS360" i="4"/>
  <c r="BR360" i="4"/>
  <c r="BL360" i="4"/>
  <c r="BK360" i="4"/>
  <c r="BD360" i="4"/>
  <c r="AW360" i="4"/>
  <c r="AT360" i="4"/>
  <c r="AS360" i="4"/>
  <c r="AR360" i="4"/>
  <c r="AQ360" i="4"/>
  <c r="AP360" i="4"/>
  <c r="AO360" i="4"/>
  <c r="AN360" i="4"/>
  <c r="AM360" i="4"/>
  <c r="AI360" i="4"/>
  <c r="T360" i="4"/>
  <c r="S360" i="4"/>
  <c r="R360" i="4"/>
  <c r="Q360" i="4"/>
  <c r="CD360" i="4" s="1"/>
  <c r="BS359" i="4"/>
  <c r="BR359" i="4"/>
  <c r="BL359" i="4"/>
  <c r="BK359" i="4"/>
  <c r="BD359" i="4"/>
  <c r="AW359" i="4"/>
  <c r="AT359" i="4"/>
  <c r="AS359" i="4"/>
  <c r="AR359" i="4"/>
  <c r="AQ359" i="4"/>
  <c r="AP359" i="4"/>
  <c r="AO359" i="4"/>
  <c r="AN359" i="4"/>
  <c r="AM359" i="4"/>
  <c r="AI359" i="4"/>
  <c r="T359" i="4"/>
  <c r="S359" i="4"/>
  <c r="R359" i="4"/>
  <c r="Q359" i="4"/>
  <c r="CD359" i="4" s="1"/>
  <c r="BS358" i="4"/>
  <c r="BR358" i="4"/>
  <c r="BL358" i="4"/>
  <c r="BK358" i="4"/>
  <c r="BD358" i="4"/>
  <c r="AW358" i="4"/>
  <c r="AT358" i="4"/>
  <c r="AS358" i="4"/>
  <c r="AR358" i="4"/>
  <c r="AQ358" i="4"/>
  <c r="AP358" i="4"/>
  <c r="AO358" i="4"/>
  <c r="AN358" i="4"/>
  <c r="AM358" i="4"/>
  <c r="AI358" i="4"/>
  <c r="T358" i="4"/>
  <c r="S358" i="4"/>
  <c r="R358" i="4"/>
  <c r="Q358" i="4"/>
  <c r="CD358" i="4" s="1"/>
  <c r="DY357" i="4"/>
  <c r="EA357" i="4" s="1"/>
  <c r="DV357" i="4"/>
  <c r="DU357" i="4"/>
  <c r="CD357" i="4"/>
  <c r="BJ357" i="4"/>
  <c r="BI357" i="4"/>
  <c r="BH357" i="4"/>
  <c r="BG357" i="4"/>
  <c r="BF357" i="4"/>
  <c r="BE357" i="4"/>
  <c r="BC357" i="4"/>
  <c r="BB357" i="4"/>
  <c r="BA357" i="4"/>
  <c r="AZ357" i="4"/>
  <c r="AY357" i="4"/>
  <c r="AX357" i="4"/>
  <c r="AV357" i="4"/>
  <c r="AU357" i="4"/>
  <c r="AK357" i="4"/>
  <c r="AJ357" i="4"/>
  <c r="AH357" i="4"/>
  <c r="AG357" i="4"/>
  <c r="AF357" i="4"/>
  <c r="AE357" i="4"/>
  <c r="AD357" i="4"/>
  <c r="AC357" i="4"/>
  <c r="AB357" i="4"/>
  <c r="AA357" i="4"/>
  <c r="Z357" i="4"/>
  <c r="Y357" i="4"/>
  <c r="X357" i="4"/>
  <c r="W357" i="4"/>
  <c r="V357" i="4"/>
  <c r="U357" i="4"/>
  <c r="DY356" i="4"/>
  <c r="EA356" i="4" s="1"/>
  <c r="DV356" i="4"/>
  <c r="DU356" i="4"/>
  <c r="CD356" i="4"/>
  <c r="BJ356" i="4"/>
  <c r="BI356" i="4"/>
  <c r="BH356" i="4"/>
  <c r="BG356" i="4"/>
  <c r="BF356" i="4"/>
  <c r="BE356" i="4"/>
  <c r="BC356" i="4"/>
  <c r="BB356" i="4"/>
  <c r="BA356" i="4"/>
  <c r="AZ356" i="4"/>
  <c r="AY356" i="4"/>
  <c r="AX356" i="4"/>
  <c r="AV356" i="4"/>
  <c r="AU356" i="4"/>
  <c r="AK356" i="4"/>
  <c r="AJ356" i="4"/>
  <c r="AH356" i="4"/>
  <c r="AG356" i="4"/>
  <c r="AF356" i="4"/>
  <c r="AE356" i="4"/>
  <c r="AD356" i="4"/>
  <c r="AC356" i="4"/>
  <c r="AB356" i="4"/>
  <c r="AA356" i="4"/>
  <c r="Z356" i="4"/>
  <c r="Y356" i="4"/>
  <c r="X356" i="4"/>
  <c r="W356" i="4"/>
  <c r="V356" i="4"/>
  <c r="U356" i="4"/>
  <c r="DY355" i="4"/>
  <c r="EA355" i="4" s="1"/>
  <c r="DV355" i="4"/>
  <c r="DU355" i="4"/>
  <c r="CD355" i="4"/>
  <c r="BJ355" i="4"/>
  <c r="BI355" i="4"/>
  <c r="BH355" i="4"/>
  <c r="BG355" i="4"/>
  <c r="BF355" i="4"/>
  <c r="BE355" i="4"/>
  <c r="BC355" i="4"/>
  <c r="BB355" i="4"/>
  <c r="BA355" i="4"/>
  <c r="AZ355" i="4"/>
  <c r="AY355" i="4"/>
  <c r="AX355" i="4"/>
  <c r="AV355" i="4"/>
  <c r="AU355" i="4"/>
  <c r="AK355" i="4"/>
  <c r="AJ355" i="4"/>
  <c r="AH355" i="4"/>
  <c r="AG355" i="4"/>
  <c r="AF355" i="4"/>
  <c r="AE355" i="4"/>
  <c r="AD355" i="4"/>
  <c r="AC355" i="4"/>
  <c r="AB355" i="4"/>
  <c r="AA355" i="4"/>
  <c r="Z355" i="4"/>
  <c r="Y355" i="4"/>
  <c r="X355" i="4"/>
  <c r="W355" i="4"/>
  <c r="V355" i="4"/>
  <c r="U355" i="4"/>
  <c r="DY354" i="4"/>
  <c r="EA354" i="4" s="1"/>
  <c r="DV354" i="4"/>
  <c r="DU354" i="4"/>
  <c r="CD354" i="4"/>
  <c r="BJ354" i="4"/>
  <c r="BI354" i="4"/>
  <c r="BH354" i="4"/>
  <c r="BG354" i="4"/>
  <c r="BF354" i="4"/>
  <c r="BE354" i="4"/>
  <c r="BC354" i="4"/>
  <c r="BB354" i="4"/>
  <c r="BA354" i="4"/>
  <c r="AZ354" i="4"/>
  <c r="AY354" i="4"/>
  <c r="AX354" i="4"/>
  <c r="AV354" i="4"/>
  <c r="AU354" i="4"/>
  <c r="AK354" i="4"/>
  <c r="AJ354" i="4"/>
  <c r="AH354" i="4"/>
  <c r="AG354" i="4"/>
  <c r="AF354" i="4"/>
  <c r="AE354" i="4"/>
  <c r="AD354" i="4"/>
  <c r="AC354" i="4"/>
  <c r="AB354" i="4"/>
  <c r="AA354" i="4"/>
  <c r="Z354" i="4"/>
  <c r="Y354" i="4"/>
  <c r="X354" i="4"/>
  <c r="W354" i="4"/>
  <c r="V354" i="4"/>
  <c r="U354" i="4"/>
  <c r="DY353" i="4"/>
  <c r="EA353" i="4" s="1"/>
  <c r="DV353" i="4"/>
  <c r="DU353" i="4"/>
  <c r="CD353" i="4"/>
  <c r="BJ353" i="4"/>
  <c r="BI353" i="4"/>
  <c r="BH353" i="4"/>
  <c r="BG353" i="4"/>
  <c r="BF353" i="4"/>
  <c r="BE353" i="4"/>
  <c r="BC353" i="4"/>
  <c r="BB353" i="4"/>
  <c r="BA353" i="4"/>
  <c r="AZ353" i="4"/>
  <c r="AY353" i="4"/>
  <c r="AX353" i="4"/>
  <c r="AV353" i="4"/>
  <c r="AU353" i="4"/>
  <c r="AK353" i="4"/>
  <c r="AJ353" i="4"/>
  <c r="AH353" i="4"/>
  <c r="AG353" i="4"/>
  <c r="AF353" i="4"/>
  <c r="AE353" i="4"/>
  <c r="AD353" i="4"/>
  <c r="AC353" i="4"/>
  <c r="AB353" i="4"/>
  <c r="AA353" i="4"/>
  <c r="Z353" i="4"/>
  <c r="Y353" i="4"/>
  <c r="X353" i="4"/>
  <c r="W353" i="4"/>
  <c r="V353" i="4"/>
  <c r="U353" i="4"/>
  <c r="DY352" i="4"/>
  <c r="EA352" i="4" s="1"/>
  <c r="DV352" i="4"/>
  <c r="DU352" i="4"/>
  <c r="CD352" i="4"/>
  <c r="BJ352" i="4"/>
  <c r="BI352" i="4"/>
  <c r="BH352" i="4"/>
  <c r="BG352" i="4"/>
  <c r="BF352" i="4"/>
  <c r="BE352" i="4"/>
  <c r="BC352" i="4"/>
  <c r="BB352" i="4"/>
  <c r="BA352" i="4"/>
  <c r="AZ352" i="4"/>
  <c r="AY352" i="4"/>
  <c r="AX352" i="4"/>
  <c r="AV352" i="4"/>
  <c r="AU352" i="4"/>
  <c r="AK352" i="4"/>
  <c r="AJ352" i="4"/>
  <c r="AH352" i="4"/>
  <c r="AG352" i="4"/>
  <c r="AF352" i="4"/>
  <c r="AE352" i="4"/>
  <c r="AD352" i="4"/>
  <c r="AC352" i="4"/>
  <c r="AB352" i="4"/>
  <c r="AA352" i="4"/>
  <c r="Z352" i="4"/>
  <c r="Y352" i="4"/>
  <c r="X352" i="4"/>
  <c r="W352" i="4"/>
  <c r="V352" i="4"/>
  <c r="U352" i="4"/>
  <c r="DY351" i="4"/>
  <c r="EA351" i="4" s="1"/>
  <c r="EB351" i="4" s="1"/>
  <c r="DV351" i="4"/>
  <c r="DU351" i="4"/>
  <c r="CD351" i="4"/>
  <c r="BJ351" i="4"/>
  <c r="BI351" i="4"/>
  <c r="BH351" i="4"/>
  <c r="BG351" i="4"/>
  <c r="BF351" i="4"/>
  <c r="BE351" i="4"/>
  <c r="BC351" i="4"/>
  <c r="BB351" i="4"/>
  <c r="BA351" i="4"/>
  <c r="AZ351" i="4"/>
  <c r="AY351" i="4"/>
  <c r="AX351" i="4"/>
  <c r="AV351" i="4"/>
  <c r="AU351" i="4"/>
  <c r="AK351" i="4"/>
  <c r="AJ351" i="4"/>
  <c r="AH351" i="4"/>
  <c r="AG351" i="4"/>
  <c r="AF351" i="4"/>
  <c r="AE351" i="4"/>
  <c r="AD351" i="4"/>
  <c r="AC351" i="4"/>
  <c r="AB351" i="4"/>
  <c r="AA351" i="4"/>
  <c r="Z351" i="4"/>
  <c r="Y351" i="4"/>
  <c r="X351" i="4"/>
  <c r="W351" i="4"/>
  <c r="V351" i="4"/>
  <c r="U351" i="4"/>
  <c r="DY350" i="4"/>
  <c r="EA350" i="4" s="1"/>
  <c r="EB350" i="4" s="1"/>
  <c r="DV350" i="4"/>
  <c r="DU350" i="4"/>
  <c r="CD350" i="4"/>
  <c r="BJ350" i="4"/>
  <c r="BI350" i="4"/>
  <c r="BH350" i="4"/>
  <c r="BG350" i="4"/>
  <c r="BF350" i="4"/>
  <c r="BE350" i="4"/>
  <c r="BC350" i="4"/>
  <c r="BB350" i="4"/>
  <c r="BA350" i="4"/>
  <c r="AZ350" i="4"/>
  <c r="AY350" i="4"/>
  <c r="AX350" i="4"/>
  <c r="AV350" i="4"/>
  <c r="AU350" i="4"/>
  <c r="AK350" i="4"/>
  <c r="AJ350" i="4"/>
  <c r="AH350" i="4"/>
  <c r="AG350" i="4"/>
  <c r="AF350" i="4"/>
  <c r="AE350" i="4"/>
  <c r="AD350" i="4"/>
  <c r="AC350" i="4"/>
  <c r="AB350" i="4"/>
  <c r="AA350" i="4"/>
  <c r="Z350" i="4"/>
  <c r="Y350" i="4"/>
  <c r="X350" i="4"/>
  <c r="W350" i="4"/>
  <c r="V350" i="4"/>
  <c r="U350" i="4"/>
  <c r="DY349" i="4"/>
  <c r="EA349" i="4" s="1"/>
  <c r="DV349" i="4"/>
  <c r="DU349" i="4"/>
  <c r="CD349" i="4"/>
  <c r="BJ349" i="4"/>
  <c r="BI349" i="4"/>
  <c r="BH349" i="4"/>
  <c r="BG349" i="4"/>
  <c r="BF349" i="4"/>
  <c r="BE349" i="4"/>
  <c r="BC349" i="4"/>
  <c r="BB349" i="4"/>
  <c r="BA349" i="4"/>
  <c r="AZ349" i="4"/>
  <c r="AY349" i="4"/>
  <c r="AX349" i="4"/>
  <c r="AV349" i="4"/>
  <c r="AU349" i="4"/>
  <c r="AK349" i="4"/>
  <c r="AJ349" i="4"/>
  <c r="AH349" i="4"/>
  <c r="AG349" i="4"/>
  <c r="AF349" i="4"/>
  <c r="AE349" i="4"/>
  <c r="AD349" i="4"/>
  <c r="AC349" i="4"/>
  <c r="AB349" i="4"/>
  <c r="AA349" i="4"/>
  <c r="Z349" i="4"/>
  <c r="Y349" i="4"/>
  <c r="X349" i="4"/>
  <c r="W349" i="4"/>
  <c r="V349" i="4"/>
  <c r="U349" i="4"/>
  <c r="DY348" i="4"/>
  <c r="EA348" i="4" s="1"/>
  <c r="DV348" i="4"/>
  <c r="DU348" i="4"/>
  <c r="CD348" i="4"/>
  <c r="BJ348" i="4"/>
  <c r="BI348" i="4"/>
  <c r="BH348" i="4"/>
  <c r="BG348" i="4"/>
  <c r="BF348" i="4"/>
  <c r="BE348" i="4"/>
  <c r="BC348" i="4"/>
  <c r="BB348" i="4"/>
  <c r="BA348" i="4"/>
  <c r="AZ348" i="4"/>
  <c r="AY348" i="4"/>
  <c r="AX348" i="4"/>
  <c r="AV348" i="4"/>
  <c r="AU348" i="4"/>
  <c r="AK348" i="4"/>
  <c r="AJ348" i="4"/>
  <c r="AH348" i="4"/>
  <c r="AG348" i="4"/>
  <c r="AF348" i="4"/>
  <c r="AE348" i="4"/>
  <c r="AD348" i="4"/>
  <c r="AC348" i="4"/>
  <c r="AB348" i="4"/>
  <c r="AA348" i="4"/>
  <c r="Z348" i="4"/>
  <c r="Y348" i="4"/>
  <c r="X348" i="4"/>
  <c r="W348" i="4"/>
  <c r="V348" i="4"/>
  <c r="U348" i="4"/>
  <c r="DY347" i="4"/>
  <c r="EA347" i="4" s="1"/>
  <c r="EC347" i="4" s="1"/>
  <c r="DV347" i="4"/>
  <c r="DU347" i="4"/>
  <c r="CD347" i="4"/>
  <c r="BJ347" i="4"/>
  <c r="BI347" i="4"/>
  <c r="BH347" i="4"/>
  <c r="BG347" i="4"/>
  <c r="BF347" i="4"/>
  <c r="BE347" i="4"/>
  <c r="BC347" i="4"/>
  <c r="BB347" i="4"/>
  <c r="BA347" i="4"/>
  <c r="AZ347" i="4"/>
  <c r="AY347" i="4"/>
  <c r="AX347" i="4"/>
  <c r="AV347" i="4"/>
  <c r="AU347" i="4"/>
  <c r="AK347" i="4"/>
  <c r="AJ347" i="4"/>
  <c r="AH347" i="4"/>
  <c r="AG347" i="4"/>
  <c r="AF347" i="4"/>
  <c r="AE347" i="4"/>
  <c r="AD347" i="4"/>
  <c r="AC347" i="4"/>
  <c r="AB347" i="4"/>
  <c r="AA347" i="4"/>
  <c r="Z347" i="4"/>
  <c r="Y347" i="4"/>
  <c r="X347" i="4"/>
  <c r="W347" i="4"/>
  <c r="V347" i="4"/>
  <c r="U347" i="4"/>
  <c r="DY346" i="4"/>
  <c r="EA346" i="4" s="1"/>
  <c r="DV346" i="4"/>
  <c r="DU346" i="4"/>
  <c r="CD346" i="4"/>
  <c r="BJ346" i="4"/>
  <c r="BI346" i="4"/>
  <c r="BH346" i="4"/>
  <c r="BG346" i="4"/>
  <c r="BF346" i="4"/>
  <c r="BE346" i="4"/>
  <c r="BC346" i="4"/>
  <c r="BB346" i="4"/>
  <c r="BA346" i="4"/>
  <c r="AZ346" i="4"/>
  <c r="AY346" i="4"/>
  <c r="AX346" i="4"/>
  <c r="AV346" i="4"/>
  <c r="AU346" i="4"/>
  <c r="AK346" i="4"/>
  <c r="AJ346" i="4"/>
  <c r="AH346" i="4"/>
  <c r="AG346" i="4"/>
  <c r="AF346" i="4"/>
  <c r="AE346" i="4"/>
  <c r="AD346" i="4"/>
  <c r="AC346" i="4"/>
  <c r="AB346" i="4"/>
  <c r="AA346" i="4"/>
  <c r="Z346" i="4"/>
  <c r="Y346" i="4"/>
  <c r="X346" i="4"/>
  <c r="W346" i="4"/>
  <c r="V346" i="4"/>
  <c r="U346" i="4"/>
  <c r="DY345" i="4"/>
  <c r="EA345" i="4" s="1"/>
  <c r="DV345" i="4"/>
  <c r="DU345" i="4"/>
  <c r="CD345" i="4"/>
  <c r="BJ345" i="4"/>
  <c r="BI345" i="4"/>
  <c r="BH345" i="4"/>
  <c r="BG345" i="4"/>
  <c r="BF345" i="4"/>
  <c r="BE345" i="4"/>
  <c r="BC345" i="4"/>
  <c r="BB345" i="4"/>
  <c r="BA345" i="4"/>
  <c r="AZ345" i="4"/>
  <c r="AY345" i="4"/>
  <c r="AX345" i="4"/>
  <c r="AV345" i="4"/>
  <c r="AU345" i="4"/>
  <c r="AK345" i="4"/>
  <c r="AJ345" i="4"/>
  <c r="AH345" i="4"/>
  <c r="AG345" i="4"/>
  <c r="AF345" i="4"/>
  <c r="AE345" i="4"/>
  <c r="AD345" i="4"/>
  <c r="AC345" i="4"/>
  <c r="AB345" i="4"/>
  <c r="AA345" i="4"/>
  <c r="Z345" i="4"/>
  <c r="Y345" i="4"/>
  <c r="X345" i="4"/>
  <c r="W345" i="4"/>
  <c r="V345" i="4"/>
  <c r="U345" i="4"/>
  <c r="DY344" i="4"/>
  <c r="EA344" i="4" s="1"/>
  <c r="DV344" i="4"/>
  <c r="DU344" i="4"/>
  <c r="CD344" i="4"/>
  <c r="BJ344" i="4"/>
  <c r="BI344" i="4"/>
  <c r="BH344" i="4"/>
  <c r="BG344" i="4"/>
  <c r="BF344" i="4"/>
  <c r="BE344" i="4"/>
  <c r="BC344" i="4"/>
  <c r="BB344" i="4"/>
  <c r="BA344" i="4"/>
  <c r="AZ344" i="4"/>
  <c r="AY344" i="4"/>
  <c r="AX344" i="4"/>
  <c r="AV344" i="4"/>
  <c r="AU344" i="4"/>
  <c r="AK344" i="4"/>
  <c r="AJ344" i="4"/>
  <c r="AH344" i="4"/>
  <c r="AG344" i="4"/>
  <c r="AF344" i="4"/>
  <c r="AE344" i="4"/>
  <c r="AD344" i="4"/>
  <c r="AC344" i="4"/>
  <c r="AB344" i="4"/>
  <c r="AA344" i="4"/>
  <c r="Z344" i="4"/>
  <c r="Y344" i="4"/>
  <c r="X344" i="4"/>
  <c r="W344" i="4"/>
  <c r="V344" i="4"/>
  <c r="U344" i="4"/>
  <c r="DY343" i="4"/>
  <c r="EA343" i="4" s="1"/>
  <c r="DV343" i="4"/>
  <c r="DU343" i="4"/>
  <c r="CD343" i="4"/>
  <c r="BJ343" i="4"/>
  <c r="BI343" i="4"/>
  <c r="BH343" i="4"/>
  <c r="BG343" i="4"/>
  <c r="BF343" i="4"/>
  <c r="BE343" i="4"/>
  <c r="BC343" i="4"/>
  <c r="BB343" i="4"/>
  <c r="BA343" i="4"/>
  <c r="AZ343" i="4"/>
  <c r="AY343" i="4"/>
  <c r="AX343" i="4"/>
  <c r="AV343" i="4"/>
  <c r="AU343" i="4"/>
  <c r="AK343" i="4"/>
  <c r="AJ343" i="4"/>
  <c r="AH343" i="4"/>
  <c r="AG343" i="4"/>
  <c r="AF343" i="4"/>
  <c r="AE343" i="4"/>
  <c r="AD343" i="4"/>
  <c r="AC343" i="4"/>
  <c r="AB343" i="4"/>
  <c r="AA343" i="4"/>
  <c r="Z343" i="4"/>
  <c r="Y343" i="4"/>
  <c r="X343" i="4"/>
  <c r="W343" i="4"/>
  <c r="V343" i="4"/>
  <c r="U343" i="4"/>
  <c r="DY342" i="4"/>
  <c r="EA342" i="4" s="1"/>
  <c r="EC342" i="4" s="1"/>
  <c r="DV342" i="4"/>
  <c r="DU342" i="4"/>
  <c r="CD342" i="4"/>
  <c r="BK342" i="4"/>
  <c r="BJ342" i="4"/>
  <c r="BI342" i="4"/>
  <c r="BH342" i="4"/>
  <c r="BG342" i="4"/>
  <c r="BF342" i="4"/>
  <c r="BB342" i="4"/>
  <c r="BA342" i="4"/>
  <c r="AZ342" i="4"/>
  <c r="AY342" i="4"/>
  <c r="AX342" i="4"/>
  <c r="AV342" i="4"/>
  <c r="AU342" i="4"/>
  <c r="AK342" i="4"/>
  <c r="AJ342" i="4"/>
  <c r="AI342" i="4"/>
  <c r="AH342" i="4"/>
  <c r="AG342" i="4"/>
  <c r="AF342" i="4"/>
  <c r="AE342" i="4"/>
  <c r="AD342" i="4"/>
  <c r="Z342" i="4"/>
  <c r="Y342" i="4"/>
  <c r="X342" i="4"/>
  <c r="W342" i="4"/>
  <c r="V342" i="4"/>
  <c r="U342" i="4"/>
  <c r="DY341" i="4"/>
  <c r="EA341" i="4" s="1"/>
  <c r="DV341" i="4"/>
  <c r="DU341" i="4"/>
  <c r="CD341" i="4"/>
  <c r="BK341" i="4"/>
  <c r="BJ341" i="4"/>
  <c r="BI341" i="4"/>
  <c r="BH341" i="4"/>
  <c r="BG341" i="4"/>
  <c r="BF341" i="4"/>
  <c r="BB341" i="4"/>
  <c r="BA341" i="4"/>
  <c r="AZ341" i="4"/>
  <c r="AY341" i="4"/>
  <c r="AX341" i="4"/>
  <c r="AV341" i="4"/>
  <c r="AU341" i="4"/>
  <c r="AK341" i="4"/>
  <c r="AJ341" i="4"/>
  <c r="AI341" i="4"/>
  <c r="AH341" i="4"/>
  <c r="AG341" i="4"/>
  <c r="AF341" i="4"/>
  <c r="AE341" i="4"/>
  <c r="AD341" i="4"/>
  <c r="Z341" i="4"/>
  <c r="Y341" i="4"/>
  <c r="X341" i="4"/>
  <c r="W341" i="4"/>
  <c r="V341" i="4"/>
  <c r="U341" i="4"/>
  <c r="DY340" i="4"/>
  <c r="EA340" i="4" s="1"/>
  <c r="EC340" i="4" s="1"/>
  <c r="DV340" i="4"/>
  <c r="DU340" i="4"/>
  <c r="CD340" i="4"/>
  <c r="BK340" i="4"/>
  <c r="BJ340" i="4"/>
  <c r="BI340" i="4"/>
  <c r="BH340" i="4"/>
  <c r="BG340" i="4"/>
  <c r="BF340" i="4"/>
  <c r="BB340" i="4"/>
  <c r="BA340" i="4"/>
  <c r="AZ340" i="4"/>
  <c r="AY340" i="4"/>
  <c r="AX340" i="4"/>
  <c r="AV340" i="4"/>
  <c r="AU340" i="4"/>
  <c r="AK340" i="4"/>
  <c r="AJ340" i="4"/>
  <c r="AI340" i="4"/>
  <c r="AH340" i="4"/>
  <c r="AG340" i="4"/>
  <c r="AF340" i="4"/>
  <c r="AE340" i="4"/>
  <c r="AD340" i="4"/>
  <c r="Z340" i="4"/>
  <c r="Y340" i="4"/>
  <c r="X340" i="4"/>
  <c r="W340" i="4"/>
  <c r="V340" i="4"/>
  <c r="U340" i="4"/>
  <c r="DY339" i="4"/>
  <c r="EA339" i="4" s="1"/>
  <c r="DV339" i="4"/>
  <c r="DU339" i="4"/>
  <c r="CD339" i="4"/>
  <c r="BJ339" i="4"/>
  <c r="BI339" i="4"/>
  <c r="BH339" i="4"/>
  <c r="BG339" i="4"/>
  <c r="BF339" i="4"/>
  <c r="BE339" i="4"/>
  <c r="BC339" i="4"/>
  <c r="BB339" i="4"/>
  <c r="BA339" i="4"/>
  <c r="AZ339" i="4"/>
  <c r="AY339" i="4"/>
  <c r="AX339" i="4"/>
  <c r="AV339" i="4"/>
  <c r="AU339" i="4"/>
  <c r="AK339" i="4"/>
  <c r="AJ339" i="4"/>
  <c r="AH339" i="4"/>
  <c r="AG339" i="4"/>
  <c r="AF339" i="4"/>
  <c r="AE339" i="4"/>
  <c r="AD339" i="4"/>
  <c r="AC339" i="4"/>
  <c r="AB339" i="4"/>
  <c r="AA339" i="4"/>
  <c r="Z339" i="4"/>
  <c r="Y339" i="4"/>
  <c r="X339" i="4"/>
  <c r="W339" i="4"/>
  <c r="V339" i="4"/>
  <c r="U339" i="4"/>
  <c r="DY338" i="4"/>
  <c r="EA338" i="4" s="1"/>
  <c r="DV338" i="4"/>
  <c r="DU338" i="4"/>
  <c r="CD338" i="4"/>
  <c r="BJ338" i="4"/>
  <c r="BI338" i="4"/>
  <c r="BH338" i="4"/>
  <c r="BG338" i="4"/>
  <c r="BF338" i="4"/>
  <c r="BE338" i="4"/>
  <c r="BC338" i="4"/>
  <c r="BB338" i="4"/>
  <c r="BA338" i="4"/>
  <c r="AZ338" i="4"/>
  <c r="AY338" i="4"/>
  <c r="AX338" i="4"/>
  <c r="AV338" i="4"/>
  <c r="AU338" i="4"/>
  <c r="AK338" i="4"/>
  <c r="AJ338" i="4"/>
  <c r="AH338" i="4"/>
  <c r="AG338" i="4"/>
  <c r="AF338" i="4"/>
  <c r="AE338" i="4"/>
  <c r="AD338" i="4"/>
  <c r="AC338" i="4"/>
  <c r="AB338" i="4"/>
  <c r="AA338" i="4"/>
  <c r="Z338" i="4"/>
  <c r="Y338" i="4"/>
  <c r="X338" i="4"/>
  <c r="W338" i="4"/>
  <c r="V338" i="4"/>
  <c r="U338" i="4"/>
  <c r="DY337" i="4"/>
  <c r="EA337" i="4" s="1"/>
  <c r="DV337" i="4"/>
  <c r="DU337" i="4"/>
  <c r="CD337" i="4"/>
  <c r="BJ337" i="4"/>
  <c r="BI337" i="4"/>
  <c r="BH337" i="4"/>
  <c r="BG337" i="4"/>
  <c r="BF337" i="4"/>
  <c r="BE337" i="4"/>
  <c r="BC337" i="4"/>
  <c r="BB337" i="4"/>
  <c r="BA337" i="4"/>
  <c r="AZ337" i="4"/>
  <c r="AY337" i="4"/>
  <c r="AX337" i="4"/>
  <c r="AV337" i="4"/>
  <c r="AU337" i="4"/>
  <c r="AK337" i="4"/>
  <c r="AJ337" i="4"/>
  <c r="AH337" i="4"/>
  <c r="AG337" i="4"/>
  <c r="AF337" i="4"/>
  <c r="AE337" i="4"/>
  <c r="AD337" i="4"/>
  <c r="AC337" i="4"/>
  <c r="AB337" i="4"/>
  <c r="AA337" i="4"/>
  <c r="Z337" i="4"/>
  <c r="Y337" i="4"/>
  <c r="X337" i="4"/>
  <c r="W337" i="4"/>
  <c r="V337" i="4"/>
  <c r="U337" i="4"/>
  <c r="DY336" i="4"/>
  <c r="EA336" i="4" s="1"/>
  <c r="DV336" i="4"/>
  <c r="DU336" i="4"/>
  <c r="CD336" i="4"/>
  <c r="BJ336" i="4"/>
  <c r="BI336" i="4"/>
  <c r="BH336" i="4"/>
  <c r="BG336" i="4"/>
  <c r="BF336" i="4"/>
  <c r="BE336" i="4"/>
  <c r="BC336" i="4"/>
  <c r="BB336" i="4"/>
  <c r="BA336" i="4"/>
  <c r="AZ336" i="4"/>
  <c r="AY336" i="4"/>
  <c r="AX336" i="4"/>
  <c r="AV336" i="4"/>
  <c r="AU336" i="4"/>
  <c r="AK336" i="4"/>
  <c r="AJ336" i="4"/>
  <c r="AH336" i="4"/>
  <c r="AG336" i="4"/>
  <c r="AF336" i="4"/>
  <c r="AE336" i="4"/>
  <c r="AD336" i="4"/>
  <c r="AC336" i="4"/>
  <c r="AB336" i="4"/>
  <c r="AA336" i="4"/>
  <c r="Z336" i="4"/>
  <c r="Y336" i="4"/>
  <c r="X336" i="4"/>
  <c r="W336" i="4"/>
  <c r="V336" i="4"/>
  <c r="U336" i="4"/>
  <c r="DY335" i="4"/>
  <c r="EA335" i="4" s="1"/>
  <c r="DV335" i="4"/>
  <c r="DU335" i="4"/>
  <c r="CD335" i="4"/>
  <c r="BJ335" i="4"/>
  <c r="BI335" i="4"/>
  <c r="BH335" i="4"/>
  <c r="BG335" i="4"/>
  <c r="BF335" i="4"/>
  <c r="BE335" i="4"/>
  <c r="BC335" i="4"/>
  <c r="BB335" i="4"/>
  <c r="BA335" i="4"/>
  <c r="AZ335" i="4"/>
  <c r="AY335" i="4"/>
  <c r="AX335" i="4"/>
  <c r="AV335" i="4"/>
  <c r="AU335" i="4"/>
  <c r="AK335" i="4"/>
  <c r="AJ335" i="4"/>
  <c r="AH335" i="4"/>
  <c r="AG335" i="4"/>
  <c r="AF335" i="4"/>
  <c r="AE335" i="4"/>
  <c r="AD335" i="4"/>
  <c r="AC335" i="4"/>
  <c r="AB335" i="4"/>
  <c r="AA335" i="4"/>
  <c r="Z335" i="4"/>
  <c r="Y335" i="4"/>
  <c r="X335" i="4"/>
  <c r="W335" i="4"/>
  <c r="V335" i="4"/>
  <c r="U335" i="4"/>
  <c r="DY334" i="4"/>
  <c r="EA334" i="4" s="1"/>
  <c r="DV334" i="4"/>
  <c r="DU334" i="4"/>
  <c r="CD334" i="4"/>
  <c r="BJ334" i="4"/>
  <c r="BI334" i="4"/>
  <c r="BH334" i="4"/>
  <c r="BG334" i="4"/>
  <c r="BF334" i="4"/>
  <c r="BE334" i="4"/>
  <c r="BC334" i="4"/>
  <c r="BB334" i="4"/>
  <c r="BA334" i="4"/>
  <c r="AZ334" i="4"/>
  <c r="AY334" i="4"/>
  <c r="AX334" i="4"/>
  <c r="AV334" i="4"/>
  <c r="AU334" i="4"/>
  <c r="AK334" i="4"/>
  <c r="AJ334" i="4"/>
  <c r="AH334" i="4"/>
  <c r="AG334" i="4"/>
  <c r="AF334" i="4"/>
  <c r="AE334" i="4"/>
  <c r="AD334" i="4"/>
  <c r="AC334" i="4"/>
  <c r="AB334" i="4"/>
  <c r="AA334" i="4"/>
  <c r="Z334" i="4"/>
  <c r="Y334" i="4"/>
  <c r="X334" i="4"/>
  <c r="W334" i="4"/>
  <c r="V334" i="4"/>
  <c r="U334" i="4"/>
  <c r="DK333" i="4"/>
  <c r="DK332" i="4"/>
  <c r="DK331" i="4"/>
  <c r="DK330" i="4"/>
  <c r="DK329" i="4"/>
  <c r="DX328" i="4"/>
  <c r="DV328" i="4"/>
  <c r="DX327" i="4"/>
  <c r="DV327" i="4"/>
  <c r="DX319" i="4"/>
  <c r="DV319" i="4"/>
  <c r="DK318" i="4"/>
  <c r="DK317" i="4"/>
  <c r="DK316" i="4"/>
  <c r="DK315" i="4"/>
  <c r="CL314" i="4"/>
  <c r="CF314" i="4"/>
  <c r="CL313" i="4"/>
  <c r="CF313" i="4"/>
  <c r="CL312" i="4"/>
  <c r="CL311" i="4"/>
  <c r="CF311" i="4"/>
  <c r="CL310" i="4"/>
  <c r="CF310" i="4"/>
  <c r="CL309" i="4"/>
  <c r="CF309" i="4"/>
  <c r="CL308" i="4"/>
  <c r="CL307" i="4"/>
  <c r="CF307" i="4"/>
  <c r="CL306" i="4"/>
  <c r="CF306" i="4"/>
  <c r="CL305" i="4"/>
  <c r="CF305" i="4"/>
  <c r="CL304" i="4"/>
  <c r="CL303" i="4"/>
  <c r="CF303" i="4"/>
  <c r="CL302" i="4"/>
  <c r="CF302" i="4"/>
  <c r="CL301" i="4"/>
  <c r="CF301" i="4"/>
  <c r="CL300" i="4"/>
  <c r="CL299" i="4"/>
  <c r="CF299" i="4"/>
  <c r="CL298" i="4"/>
  <c r="CF298" i="4"/>
  <c r="CL297" i="4"/>
  <c r="CF297" i="4"/>
  <c r="CL296" i="4"/>
  <c r="CL295" i="4"/>
  <c r="CF295" i="4"/>
  <c r="CL294" i="4"/>
  <c r="BT292" i="4"/>
  <c r="BU292" i="4" s="1"/>
  <c r="BI292" i="4"/>
  <c r="BJ292" i="4" s="1"/>
  <c r="BK292" i="4" s="1"/>
  <c r="BB292" i="4"/>
  <c r="BC292" i="4" s="1"/>
  <c r="BD292" i="4" s="1"/>
  <c r="BL292" i="4" s="1"/>
  <c r="BM292" i="4" s="1"/>
  <c r="BM289" i="4"/>
  <c r="BL289" i="4"/>
  <c r="BK289" i="4"/>
  <c r="BJ289" i="4"/>
  <c r="BI289" i="4"/>
  <c r="BD289" i="4"/>
  <c r="BC289" i="4"/>
  <c r="BB289" i="4"/>
  <c r="CF293" i="4" s="1"/>
  <c r="BM288" i="4"/>
  <c r="BL288" i="4"/>
  <c r="BK288" i="4"/>
  <c r="BJ288" i="4"/>
  <c r="BI288" i="4"/>
  <c r="BD288" i="4"/>
  <c r="BC288" i="4"/>
  <c r="BB288" i="4"/>
  <c r="BM287" i="4"/>
  <c r="BL287" i="4"/>
  <c r="BK287" i="4"/>
  <c r="BJ287" i="4"/>
  <c r="BI287" i="4"/>
  <c r="BD287" i="4"/>
  <c r="BC287" i="4"/>
  <c r="BB287" i="4"/>
  <c r="BM286" i="4"/>
  <c r="BL286" i="4"/>
  <c r="BK286" i="4"/>
  <c r="BJ286" i="4"/>
  <c r="BI286" i="4"/>
  <c r="BD286" i="4"/>
  <c r="BC286" i="4"/>
  <c r="BB286" i="4"/>
  <c r="CF290" i="4" s="1"/>
  <c r="BM285" i="4"/>
  <c r="BL285" i="4"/>
  <c r="BK285" i="4"/>
  <c r="BJ285" i="4"/>
  <c r="BI285" i="4"/>
  <c r="BD285" i="4"/>
  <c r="BC285" i="4"/>
  <c r="BB285" i="4"/>
  <c r="BM284" i="4"/>
  <c r="BL284" i="4"/>
  <c r="BK284" i="4"/>
  <c r="BJ284" i="4"/>
  <c r="BI284" i="4"/>
  <c r="BD284" i="4"/>
  <c r="BC284" i="4"/>
  <c r="BB284" i="4"/>
  <c r="CF288" i="4" s="1"/>
  <c r="AS284" i="4"/>
  <c r="CR311" i="4" s="1"/>
  <c r="CR312" i="4" s="1"/>
  <c r="CR313" i="4" s="1"/>
  <c r="CR314" i="4" s="1"/>
  <c r="BM283" i="4"/>
  <c r="BL283" i="4"/>
  <c r="BK283" i="4"/>
  <c r="BJ283" i="4"/>
  <c r="BI283" i="4"/>
  <c r="BD283" i="4"/>
  <c r="BC283" i="4"/>
  <c r="BB283" i="4"/>
  <c r="AO283" i="4"/>
  <c r="AS283" i="4" s="1"/>
  <c r="CR299" i="4" s="1"/>
  <c r="CR300" i="4" s="1"/>
  <c r="CR301" i="4" s="1"/>
  <c r="CR302" i="4" s="1"/>
  <c r="BM282" i="4"/>
  <c r="BL282" i="4"/>
  <c r="BK282" i="4"/>
  <c r="BJ282" i="4"/>
  <c r="BI282" i="4"/>
  <c r="BD282" i="4"/>
  <c r="BC282" i="4"/>
  <c r="BB282" i="4"/>
  <c r="CF287" i="4" s="1"/>
  <c r="AO282" i="4"/>
  <c r="AS282" i="4" s="1"/>
  <c r="CR303" i="4" s="1"/>
  <c r="CR304" i="4" s="1"/>
  <c r="CR305" i="4" s="1"/>
  <c r="CR306" i="4" s="1"/>
  <c r="BM281" i="4"/>
  <c r="BL281" i="4"/>
  <c r="BK281" i="4"/>
  <c r="BJ281" i="4"/>
  <c r="BI281" i="4"/>
  <c r="BD281" i="4"/>
  <c r="BC281" i="4"/>
  <c r="BB281" i="4"/>
  <c r="CF285" i="4" s="1"/>
  <c r="AO281" i="4"/>
  <c r="AS281" i="4" s="1"/>
  <c r="CR307" i="4" s="1"/>
  <c r="CR308" i="4" s="1"/>
  <c r="CR309" i="4" s="1"/>
  <c r="CR310" i="4" s="1"/>
  <c r="BU280" i="4"/>
  <c r="BT280" i="4"/>
  <c r="BM280" i="4"/>
  <c r="CB281" i="4" s="1"/>
  <c r="BL280" i="4"/>
  <c r="CB280" i="4" s="1"/>
  <c r="BK280" i="4"/>
  <c r="BJ280" i="4"/>
  <c r="BI280" i="4"/>
  <c r="BD280" i="4"/>
  <c r="CB279" i="4" s="1"/>
  <c r="BC280" i="4"/>
  <c r="CB278" i="4" s="1"/>
  <c r="BB280" i="4"/>
  <c r="CB277" i="4" s="1"/>
  <c r="AQ280" i="4"/>
  <c r="AQ285" i="4" s="1"/>
  <c r="AP280" i="4"/>
  <c r="AP285" i="4" s="1"/>
  <c r="AO280" i="4"/>
  <c r="AO285" i="4" s="1"/>
  <c r="CS279" i="4"/>
  <c r="CS278" i="4"/>
  <c r="CI277" i="4"/>
  <c r="CH277" i="4"/>
  <c r="CF277" i="4"/>
  <c r="CI276" i="4"/>
  <c r="CH276" i="4"/>
  <c r="CF276" i="4"/>
  <c r="CI275" i="4"/>
  <c r="CH275" i="4"/>
  <c r="CF275" i="4"/>
  <c r="CI274" i="4"/>
  <c r="CH274" i="4"/>
  <c r="CF274" i="4"/>
  <c r="CI273" i="4"/>
  <c r="CH273" i="4"/>
  <c r="CF273" i="4"/>
  <c r="CI272" i="4"/>
  <c r="CH272" i="4"/>
  <c r="CF272" i="4"/>
  <c r="CI271" i="4"/>
  <c r="CH271" i="4"/>
  <c r="CF271" i="4"/>
  <c r="CI270" i="4"/>
  <c r="CH270" i="4"/>
  <c r="CF270" i="4"/>
  <c r="CI269" i="4"/>
  <c r="CH269" i="4"/>
  <c r="CF269" i="4"/>
  <c r="CI268" i="4"/>
  <c r="CH268" i="4"/>
  <c r="CF268" i="4"/>
  <c r="CI267" i="4"/>
  <c r="CH267" i="4"/>
  <c r="CF267" i="4"/>
  <c r="DK266" i="4"/>
  <c r="DK265" i="4"/>
  <c r="CF265" i="4"/>
  <c r="DK264" i="4"/>
  <c r="DK263" i="4"/>
  <c r="DK262" i="4"/>
  <c r="DK261" i="4"/>
  <c r="DK260" i="4"/>
  <c r="DK259" i="4"/>
  <c r="DK258" i="4"/>
  <c r="DK257" i="4"/>
  <c r="DK256" i="4"/>
  <c r="DK255" i="4"/>
  <c r="DK254" i="4"/>
  <c r="DK253" i="4"/>
  <c r="DK252" i="4"/>
  <c r="DK251" i="4"/>
  <c r="DK250" i="4"/>
  <c r="DK249" i="4"/>
  <c r="DK248" i="4"/>
  <c r="DK247" i="4"/>
  <c r="DK246" i="4"/>
  <c r="DK245" i="4"/>
  <c r="DK244" i="4"/>
  <c r="DK243" i="4"/>
  <c r="DK241" i="4"/>
  <c r="CK241" i="4"/>
  <c r="CF241" i="4"/>
  <c r="DK240" i="4"/>
  <c r="CK240" i="4"/>
  <c r="CF240" i="4"/>
  <c r="DK239" i="4"/>
  <c r="CK239" i="4"/>
  <c r="CF239" i="4"/>
  <c r="DK238" i="4"/>
  <c r="CK238" i="4"/>
  <c r="CF238" i="4"/>
  <c r="DK237" i="4"/>
  <c r="CK237" i="4"/>
  <c r="CF237" i="4"/>
  <c r="DK236" i="4"/>
  <c r="CK236" i="4"/>
  <c r="CF236" i="4"/>
  <c r="DK235" i="4"/>
  <c r="CP235" i="4"/>
  <c r="CK235" i="4"/>
  <c r="CF235" i="4"/>
  <c r="DK234" i="4"/>
  <c r="CP234" i="4"/>
  <c r="CK234" i="4"/>
  <c r="CF234" i="4"/>
  <c r="DK233" i="4"/>
  <c r="CP233" i="4"/>
  <c r="CK233" i="4"/>
  <c r="CF233" i="4"/>
  <c r="DK232" i="4"/>
  <c r="CP232" i="4"/>
  <c r="CK232" i="4"/>
  <c r="CF232" i="4"/>
  <c r="DK231" i="4"/>
  <c r="CP231" i="4"/>
  <c r="CK231" i="4"/>
  <c r="CF231" i="4"/>
  <c r="DK230" i="4"/>
  <c r="CP230" i="4"/>
  <c r="CK230" i="4"/>
  <c r="CF230" i="4"/>
  <c r="DK229" i="4"/>
  <c r="CF229" i="4"/>
  <c r="DK228" i="4"/>
  <c r="CK228" i="4"/>
  <c r="CF228" i="4"/>
  <c r="DK227" i="4"/>
  <c r="CK227" i="4"/>
  <c r="CF227" i="4"/>
  <c r="DK226" i="4"/>
  <c r="CP226" i="4"/>
  <c r="CK226" i="4"/>
  <c r="CF226" i="4"/>
  <c r="DK225" i="4"/>
  <c r="CP225" i="4"/>
  <c r="CK225" i="4"/>
  <c r="CF225" i="4"/>
  <c r="DK224" i="4"/>
  <c r="CP224" i="4"/>
  <c r="CK224" i="4"/>
  <c r="CF224" i="4"/>
  <c r="DK223" i="4"/>
  <c r="CK223" i="4"/>
  <c r="CB223" i="4"/>
  <c r="CF223" i="4" s="1"/>
  <c r="CA223" i="4"/>
  <c r="BZ223" i="4"/>
  <c r="BY223" i="4"/>
  <c r="BS223" i="4"/>
  <c r="BR223" i="4"/>
  <c r="DK222" i="4"/>
  <c r="CK222" i="4"/>
  <c r="CF222" i="4"/>
  <c r="CB222" i="4"/>
  <c r="CA222" i="4"/>
  <c r="BZ222" i="4"/>
  <c r="BY222" i="4"/>
  <c r="BX222" i="4"/>
  <c r="BS222" i="4"/>
  <c r="BR222" i="4"/>
  <c r="DK221" i="4"/>
  <c r="DK220" i="4"/>
  <c r="DK219" i="4"/>
  <c r="DK218" i="4"/>
  <c r="DK217" i="4"/>
  <c r="DK216" i="4"/>
  <c r="DK215" i="4"/>
  <c r="CF215" i="4"/>
  <c r="DK214" i="4"/>
  <c r="DK213" i="4"/>
  <c r="DK212" i="4"/>
  <c r="DK211" i="4"/>
  <c r="DK210" i="4"/>
  <c r="DK209" i="4"/>
  <c r="DK208" i="4"/>
  <c r="DK207" i="4"/>
  <c r="DK206" i="4"/>
  <c r="DK205" i="4"/>
  <c r="CF205" i="4"/>
  <c r="DK204" i="4"/>
  <c r="CF204" i="4"/>
  <c r="DK203" i="4"/>
  <c r="DK202" i="4"/>
  <c r="DK201" i="4"/>
  <c r="DK200" i="4"/>
  <c r="DK199" i="4"/>
  <c r="DJ199" i="4"/>
  <c r="DK198" i="4"/>
  <c r="DK197" i="4"/>
  <c r="DK196" i="4"/>
  <c r="DK195" i="4"/>
  <c r="DK194" i="4"/>
  <c r="CP193" i="4"/>
  <c r="CO193" i="4"/>
  <c r="CN193" i="4"/>
  <c r="CM193" i="4"/>
  <c r="CL193" i="4"/>
  <c r="CK193" i="4"/>
  <c r="CJ193" i="4"/>
  <c r="CI193" i="4"/>
  <c r="DK193" i="4" s="1"/>
  <c r="CH193" i="4"/>
  <c r="DJ193" i="4" s="1"/>
  <c r="CE193" i="4"/>
  <c r="CD193" i="4"/>
  <c r="CP192" i="4"/>
  <c r="CO192" i="4"/>
  <c r="CN192" i="4"/>
  <c r="CM192" i="4"/>
  <c r="CK192" i="4"/>
  <c r="CJ192" i="4"/>
  <c r="CI192" i="4"/>
  <c r="DK192" i="4" s="1"/>
  <c r="CH192" i="4"/>
  <c r="DJ192" i="4" s="1"/>
  <c r="CE192" i="4"/>
  <c r="CD192" i="4"/>
  <c r="CP191" i="4"/>
  <c r="CO191" i="4"/>
  <c r="CN191" i="4"/>
  <c r="CM191" i="4"/>
  <c r="CK191" i="4"/>
  <c r="CJ191" i="4"/>
  <c r="CI191" i="4"/>
  <c r="DK191" i="4" s="1"/>
  <c r="CH191" i="4"/>
  <c r="DJ191" i="4" s="1"/>
  <c r="CE191" i="4"/>
  <c r="CD191" i="4"/>
  <c r="CP190" i="4"/>
  <c r="CO190" i="4"/>
  <c r="CN190" i="4"/>
  <c r="CM190" i="4"/>
  <c r="CK190" i="4"/>
  <c r="CJ190" i="4"/>
  <c r="CI190" i="4"/>
  <c r="DK190" i="4" s="1"/>
  <c r="CH190" i="4"/>
  <c r="DJ190" i="4" s="1"/>
  <c r="CE190" i="4"/>
  <c r="CD190" i="4"/>
  <c r="CP189" i="4"/>
  <c r="CO189" i="4"/>
  <c r="CN189" i="4"/>
  <c r="CM189" i="4"/>
  <c r="CK189" i="4"/>
  <c r="CJ189" i="4"/>
  <c r="CI189" i="4"/>
  <c r="DK189" i="4" s="1"/>
  <c r="CH189" i="4"/>
  <c r="CF189" i="4"/>
  <c r="CE189" i="4"/>
  <c r="CD189" i="4"/>
  <c r="DK188" i="4"/>
  <c r="DK187" i="4"/>
  <c r="DK186" i="4"/>
  <c r="DJ186" i="4"/>
  <c r="DK185" i="4"/>
  <c r="DJ185" i="4"/>
  <c r="DK184" i="4"/>
  <c r="DJ184" i="4"/>
  <c r="DK183" i="4"/>
  <c r="DJ183" i="4"/>
  <c r="DK182" i="4"/>
  <c r="DJ182" i="4"/>
  <c r="DK181" i="4"/>
  <c r="DJ181" i="4"/>
  <c r="CF181" i="4"/>
  <c r="CF193" i="4" s="1"/>
  <c r="DK180" i="4"/>
  <c r="DJ180" i="4"/>
  <c r="CF180" i="4"/>
  <c r="DK179" i="4"/>
  <c r="DJ179" i="4"/>
  <c r="CF179" i="4"/>
  <c r="CF192" i="4" s="1"/>
  <c r="DK178" i="4"/>
  <c r="DJ178" i="4"/>
  <c r="CF178" i="4"/>
  <c r="CF191" i="4" s="1"/>
  <c r="DK177" i="4"/>
  <c r="DJ177" i="4"/>
  <c r="CF177" i="4"/>
  <c r="CF190" i="4" s="1"/>
  <c r="DK176" i="4"/>
  <c r="DJ176" i="4"/>
  <c r="CF176" i="4"/>
  <c r="DK175" i="4"/>
  <c r="DJ175" i="4"/>
  <c r="DK174" i="4"/>
  <c r="DJ174" i="4"/>
  <c r="DK173" i="4"/>
  <c r="DJ173" i="4"/>
  <c r="DK172" i="4"/>
  <c r="DJ172" i="4"/>
  <c r="DK171" i="4"/>
  <c r="DJ171" i="4"/>
  <c r="DK170" i="4"/>
  <c r="DJ170" i="4"/>
  <c r="DK169" i="4"/>
  <c r="DJ169" i="4"/>
  <c r="DK168" i="4"/>
  <c r="DJ168" i="4"/>
  <c r="DK167" i="4"/>
  <c r="DJ167" i="4"/>
  <c r="DK166" i="4"/>
  <c r="DJ166" i="4"/>
  <c r="DK165" i="4"/>
  <c r="DJ165" i="4"/>
  <c r="DD165" i="4"/>
  <c r="CX165" i="4"/>
  <c r="CR165" i="4"/>
  <c r="CL165" i="4"/>
  <c r="DK164" i="4"/>
  <c r="DJ164" i="4"/>
  <c r="DD164" i="4"/>
  <c r="CX164" i="4"/>
  <c r="CR164" i="4"/>
  <c r="CL164" i="4"/>
  <c r="CF164" i="4"/>
  <c r="DK163" i="4"/>
  <c r="DJ163" i="4"/>
  <c r="DD163" i="4"/>
  <c r="CX163" i="4"/>
  <c r="CR163" i="4"/>
  <c r="CL163" i="4"/>
  <c r="CF163" i="4"/>
  <c r="DK162" i="4"/>
  <c r="DJ162" i="4"/>
  <c r="DD162" i="4"/>
  <c r="CX162" i="4"/>
  <c r="CR162" i="4"/>
  <c r="CL162" i="4"/>
  <c r="CF162" i="4"/>
  <c r="DK161" i="4"/>
  <c r="DJ161" i="4"/>
  <c r="DI161" i="4"/>
  <c r="DD161" i="4"/>
  <c r="CX161" i="4"/>
  <c r="CR161" i="4"/>
  <c r="CL161" i="4"/>
  <c r="DK160" i="4"/>
  <c r="DJ160" i="4"/>
  <c r="DK159" i="4"/>
  <c r="DJ159" i="4"/>
  <c r="DK158" i="4"/>
  <c r="DJ158" i="4"/>
  <c r="DK157" i="4"/>
  <c r="DJ157" i="4"/>
  <c r="DK156" i="4"/>
  <c r="DJ156" i="4"/>
  <c r="DC156" i="4"/>
  <c r="DD156" i="4" s="1"/>
  <c r="CW156" i="4"/>
  <c r="CX156" i="4" s="1"/>
  <c r="CQ156" i="4"/>
  <c r="CR156" i="4" s="1"/>
  <c r="CK156" i="4"/>
  <c r="CL156" i="4" s="1"/>
  <c r="CF156" i="4"/>
  <c r="DK155" i="4"/>
  <c r="DJ155" i="4"/>
  <c r="DC155" i="4"/>
  <c r="DD155" i="4" s="1"/>
  <c r="CW155" i="4"/>
  <c r="CX155" i="4" s="1"/>
  <c r="CQ155" i="4"/>
  <c r="CR155" i="4" s="1"/>
  <c r="CK155" i="4"/>
  <c r="CL155" i="4" s="1"/>
  <c r="CF155" i="4"/>
  <c r="DK154" i="4"/>
  <c r="DJ154" i="4"/>
  <c r="DC154" i="4"/>
  <c r="DD154" i="4" s="1"/>
  <c r="CW154" i="4"/>
  <c r="CX154" i="4" s="1"/>
  <c r="CQ154" i="4"/>
  <c r="CR154" i="4" s="1"/>
  <c r="CK154" i="4"/>
  <c r="CL154" i="4" s="1"/>
  <c r="CF154" i="4"/>
  <c r="DK153" i="4"/>
  <c r="DJ153" i="4"/>
  <c r="DC153" i="4"/>
  <c r="DD153" i="4" s="1"/>
  <c r="CW153" i="4"/>
  <c r="CX153" i="4" s="1"/>
  <c r="CQ153" i="4"/>
  <c r="CR153" i="4" s="1"/>
  <c r="CK153" i="4"/>
  <c r="CL153" i="4" s="1"/>
  <c r="CF153" i="4"/>
  <c r="DK152" i="4"/>
  <c r="DJ152" i="4"/>
  <c r="DC152" i="4"/>
  <c r="DD152" i="4" s="1"/>
  <c r="CW152" i="4"/>
  <c r="CX152" i="4" s="1"/>
  <c r="CQ152" i="4"/>
  <c r="CR152" i="4" s="1"/>
  <c r="CK152" i="4"/>
  <c r="CL152" i="4" s="1"/>
  <c r="CF152" i="4"/>
  <c r="DK151" i="4"/>
  <c r="DJ151" i="4"/>
  <c r="DC151" i="4"/>
  <c r="DD151" i="4" s="1"/>
  <c r="CW151" i="4"/>
  <c r="CX151" i="4" s="1"/>
  <c r="CQ151" i="4"/>
  <c r="CR151" i="4" s="1"/>
  <c r="CK151" i="4"/>
  <c r="CL151" i="4" s="1"/>
  <c r="CF151" i="4"/>
  <c r="DK150" i="4"/>
  <c r="DJ150" i="4"/>
  <c r="DC150" i="4"/>
  <c r="DD150" i="4" s="1"/>
  <c r="CW150" i="4"/>
  <c r="CX150" i="4" s="1"/>
  <c r="CQ150" i="4"/>
  <c r="CR150" i="4" s="1"/>
  <c r="CK150" i="4"/>
  <c r="CL150" i="4" s="1"/>
  <c r="CF150" i="4"/>
  <c r="DK149" i="4"/>
  <c r="DJ149" i="4"/>
  <c r="DK148" i="4"/>
  <c r="DJ148" i="4"/>
  <c r="DK147" i="4"/>
  <c r="DJ147" i="4"/>
  <c r="DK146" i="4"/>
  <c r="DJ146" i="4"/>
  <c r="DK145" i="4"/>
  <c r="DJ145" i="4"/>
  <c r="DI145" i="4"/>
  <c r="DD145" i="4"/>
  <c r="CX145" i="4"/>
  <c r="CR145" i="4"/>
  <c r="CL145" i="4"/>
  <c r="DK144" i="4"/>
  <c r="DJ144" i="4"/>
  <c r="DI144" i="4"/>
  <c r="DD144" i="4"/>
  <c r="CX144" i="4"/>
  <c r="CR144" i="4"/>
  <c r="CL144" i="4"/>
  <c r="DK143" i="4"/>
  <c r="DJ143" i="4"/>
  <c r="DI143" i="4"/>
  <c r="DD143" i="4"/>
  <c r="CX143" i="4"/>
  <c r="CR143" i="4"/>
  <c r="CL143" i="4"/>
  <c r="DK142" i="4"/>
  <c r="DJ142" i="4"/>
  <c r="DD142" i="4"/>
  <c r="CX142" i="4"/>
  <c r="CR142" i="4"/>
  <c r="CL142" i="4"/>
  <c r="CF142" i="4"/>
  <c r="DK141" i="4"/>
  <c r="DJ141" i="4"/>
  <c r="DD141" i="4"/>
  <c r="CX141" i="4"/>
  <c r="CQ141" i="4"/>
  <c r="CR141" i="4" s="1"/>
  <c r="CK141" i="4"/>
  <c r="CL141" i="4" s="1"/>
  <c r="CF141" i="4"/>
  <c r="DK140" i="4"/>
  <c r="DJ140" i="4"/>
  <c r="DD140" i="4"/>
  <c r="CX140" i="4"/>
  <c r="CR140" i="4"/>
  <c r="CL140" i="4"/>
  <c r="CF140" i="4"/>
  <c r="CC122" i="4"/>
  <c r="CC121" i="4"/>
  <c r="BX120" i="4"/>
  <c r="BY120" i="4" s="1"/>
  <c r="BZ120" i="4" s="1"/>
  <c r="BI120" i="4"/>
  <c r="BJ120" i="4" s="1"/>
  <c r="BB120" i="4"/>
  <c r="BZ119" i="4"/>
  <c r="BK119" i="4"/>
  <c r="BD119" i="4"/>
  <c r="T119" i="4"/>
  <c r="S119" i="4"/>
  <c r="AL119" i="4" s="1"/>
  <c r="CC116" i="4"/>
  <c r="CC115" i="4"/>
  <c r="BI113" i="4"/>
  <c r="G7" i="7" s="1"/>
  <c r="BB113" i="4"/>
  <c r="F7" i="7" s="1"/>
  <c r="BZ112" i="4"/>
  <c r="BJ112" i="4"/>
  <c r="BK112" i="4" s="1"/>
  <c r="BC112" i="4"/>
  <c r="BD112" i="4" s="1"/>
  <c r="T112" i="4"/>
  <c r="W112" i="4" s="1"/>
  <c r="S112" i="4"/>
  <c r="AC112" i="4" s="1"/>
  <c r="BZ111" i="4"/>
  <c r="BJ111" i="4"/>
  <c r="BK111" i="4" s="1"/>
  <c r="BC111" i="4"/>
  <c r="BD111" i="4" s="1"/>
  <c r="T111" i="4"/>
  <c r="W111" i="4" s="1"/>
  <c r="S111" i="4"/>
  <c r="AJ111" i="4" s="1"/>
  <c r="BZ110" i="4"/>
  <c r="BJ110" i="4"/>
  <c r="BK110" i="4" s="1"/>
  <c r="BC110" i="4"/>
  <c r="BD110" i="4" s="1"/>
  <c r="T110" i="4"/>
  <c r="S110" i="4"/>
  <c r="AC110" i="4" s="1"/>
  <c r="BZ109" i="4"/>
  <c r="BJ109" i="4"/>
  <c r="BK109" i="4" s="1"/>
  <c r="BC109" i="4"/>
  <c r="BD109" i="4" s="1"/>
  <c r="T109" i="4"/>
  <c r="U109" i="4" s="1"/>
  <c r="S109" i="4"/>
  <c r="AR109" i="4" s="1"/>
  <c r="BZ108" i="4"/>
  <c r="BJ108" i="4"/>
  <c r="BK108" i="4" s="1"/>
  <c r="BC108" i="4"/>
  <c r="BD108" i="4" s="1"/>
  <c r="T108" i="4"/>
  <c r="V108" i="4" s="1"/>
  <c r="S108" i="4"/>
  <c r="AS108" i="4" s="1"/>
  <c r="BZ107" i="4"/>
  <c r="BJ107" i="4"/>
  <c r="BK107" i="4" s="1"/>
  <c r="BC107" i="4"/>
  <c r="BD107" i="4" s="1"/>
  <c r="T107" i="4"/>
  <c r="U107" i="4" s="1"/>
  <c r="S107" i="4"/>
  <c r="AR107" i="4" s="1"/>
  <c r="BZ106" i="4"/>
  <c r="BJ106" i="4"/>
  <c r="BK106" i="4" s="1"/>
  <c r="BC106" i="4"/>
  <c r="BD106" i="4" s="1"/>
  <c r="T106" i="4"/>
  <c r="V106" i="4" s="1"/>
  <c r="S106" i="4"/>
  <c r="AS106" i="4" s="1"/>
  <c r="BZ105" i="4"/>
  <c r="BJ105" i="4"/>
  <c r="BK105" i="4" s="1"/>
  <c r="BC105" i="4"/>
  <c r="BD105" i="4" s="1"/>
  <c r="T105" i="4"/>
  <c r="W105" i="4" s="1"/>
  <c r="S105" i="4"/>
  <c r="AR105" i="4" s="1"/>
  <c r="BJ104" i="4"/>
  <c r="BK104" i="4" s="1"/>
  <c r="BC104" i="4"/>
  <c r="BD104" i="4" s="1"/>
  <c r="T104" i="4"/>
  <c r="W104" i="4" s="1"/>
  <c r="S104" i="4"/>
  <c r="AR104" i="4" s="1"/>
  <c r="BJ103" i="4"/>
  <c r="BK103" i="4" s="1"/>
  <c r="BC103" i="4"/>
  <c r="BD103" i="4" s="1"/>
  <c r="T103" i="4"/>
  <c r="S103" i="4"/>
  <c r="BJ102" i="4"/>
  <c r="BK102" i="4" s="1"/>
  <c r="BC102" i="4"/>
  <c r="BD102" i="4" s="1"/>
  <c r="T102" i="4"/>
  <c r="U102" i="4" s="1"/>
  <c r="S102" i="4"/>
  <c r="AS102" i="4" s="1"/>
  <c r="BZ101" i="4"/>
  <c r="BJ101" i="4"/>
  <c r="BK101" i="4" s="1"/>
  <c r="BC101" i="4"/>
  <c r="BD101" i="4" s="1"/>
  <c r="T101" i="4"/>
  <c r="AH101" i="4" s="1"/>
  <c r="S101" i="4"/>
  <c r="AR101" i="4" s="1"/>
  <c r="BZ100" i="4"/>
  <c r="BJ100" i="4"/>
  <c r="BK100" i="4" s="1"/>
  <c r="BC100" i="4"/>
  <c r="BD100" i="4" s="1"/>
  <c r="T100" i="4"/>
  <c r="W100" i="4" s="1"/>
  <c r="S100" i="4"/>
  <c r="BP100" i="4" s="1"/>
  <c r="BZ99" i="4"/>
  <c r="BJ99" i="4"/>
  <c r="BK99" i="4" s="1"/>
  <c r="BC99" i="4"/>
  <c r="BD99" i="4" s="1"/>
  <c r="T99" i="4"/>
  <c r="U99" i="4" s="1"/>
  <c r="S99" i="4"/>
  <c r="BP99" i="4" s="1"/>
  <c r="BZ98" i="4"/>
  <c r="BJ98" i="4"/>
  <c r="BK98" i="4" s="1"/>
  <c r="BC98" i="4"/>
  <c r="BD98" i="4" s="1"/>
  <c r="T98" i="4"/>
  <c r="AH98" i="4" s="1"/>
  <c r="S98" i="4"/>
  <c r="AD98" i="4" s="1"/>
  <c r="BZ97" i="4"/>
  <c r="BJ97" i="4"/>
  <c r="BK97" i="4" s="1"/>
  <c r="BC97" i="4"/>
  <c r="BD97" i="4" s="1"/>
  <c r="T97" i="4"/>
  <c r="AH97" i="4" s="1"/>
  <c r="S97" i="4"/>
  <c r="AR97" i="4" s="1"/>
  <c r="BZ96" i="4"/>
  <c r="BJ96" i="4"/>
  <c r="BK96" i="4" s="1"/>
  <c r="BC96" i="4"/>
  <c r="BD96" i="4" s="1"/>
  <c r="T96" i="4"/>
  <c r="AH96" i="4" s="1"/>
  <c r="S96" i="4"/>
  <c r="AK96" i="4" s="1"/>
  <c r="BZ95" i="4"/>
  <c r="BJ95" i="4"/>
  <c r="BK95" i="4" s="1"/>
  <c r="BC95" i="4"/>
  <c r="BD95" i="4" s="1"/>
  <c r="T95" i="4"/>
  <c r="S95" i="4"/>
  <c r="BZ94" i="4"/>
  <c r="BJ94" i="4"/>
  <c r="BK94" i="4" s="1"/>
  <c r="BC94" i="4"/>
  <c r="BD94" i="4" s="1"/>
  <c r="T94" i="4"/>
  <c r="W94" i="4" s="1"/>
  <c r="S94" i="4"/>
  <c r="AT94" i="4" s="1"/>
  <c r="BZ93" i="4"/>
  <c r="BJ93" i="4"/>
  <c r="BK93" i="4" s="1"/>
  <c r="BC93" i="4"/>
  <c r="BD93" i="4" s="1"/>
  <c r="T93" i="4"/>
  <c r="AH93" i="4" s="1"/>
  <c r="S93" i="4"/>
  <c r="AJ93" i="4" s="1"/>
  <c r="BZ92" i="4"/>
  <c r="BJ92" i="4"/>
  <c r="BK92" i="4" s="1"/>
  <c r="BC92" i="4"/>
  <c r="BD92" i="4" s="1"/>
  <c r="T92" i="4"/>
  <c r="S92" i="4"/>
  <c r="BZ91" i="4"/>
  <c r="BJ91" i="4"/>
  <c r="BK91" i="4" s="1"/>
  <c r="BC91" i="4"/>
  <c r="BD91" i="4" s="1"/>
  <c r="T91" i="4"/>
  <c r="V91" i="4" s="1"/>
  <c r="S91" i="4"/>
  <c r="AS91" i="4" s="1"/>
  <c r="BZ90" i="4"/>
  <c r="BJ90" i="4"/>
  <c r="BK90" i="4" s="1"/>
  <c r="BC90" i="4"/>
  <c r="BD90" i="4" s="1"/>
  <c r="T90" i="4"/>
  <c r="S90" i="4"/>
  <c r="BP90" i="4" s="1"/>
  <c r="BZ89" i="4"/>
  <c r="BJ89" i="4"/>
  <c r="BK89" i="4" s="1"/>
  <c r="BC89" i="4"/>
  <c r="BD89" i="4" s="1"/>
  <c r="T89" i="4"/>
  <c r="U89" i="4" s="1"/>
  <c r="S89" i="4"/>
  <c r="AR89" i="4" s="1"/>
  <c r="BZ88" i="4"/>
  <c r="BJ88" i="4"/>
  <c r="BK88" i="4" s="1"/>
  <c r="BC88" i="4"/>
  <c r="BD88" i="4" s="1"/>
  <c r="T88" i="4"/>
  <c r="V88" i="4" s="1"/>
  <c r="S88" i="4"/>
  <c r="AR88" i="4" s="1"/>
  <c r="BZ87" i="4"/>
  <c r="BJ87" i="4"/>
  <c r="BK87" i="4" s="1"/>
  <c r="BC87" i="4"/>
  <c r="BD87" i="4" s="1"/>
  <c r="T87" i="4"/>
  <c r="U87" i="4" s="1"/>
  <c r="S87" i="4"/>
  <c r="AB87" i="4" s="1"/>
  <c r="BZ86" i="4"/>
  <c r="BJ86" i="4"/>
  <c r="BK86" i="4" s="1"/>
  <c r="BC86" i="4"/>
  <c r="BD86" i="4" s="1"/>
  <c r="T86" i="4"/>
  <c r="U86" i="4" s="1"/>
  <c r="S86" i="4"/>
  <c r="AC86" i="4" s="1"/>
  <c r="BZ85" i="4"/>
  <c r="BJ85" i="4"/>
  <c r="BK85" i="4" s="1"/>
  <c r="BC85" i="4"/>
  <c r="BD85" i="4" s="1"/>
  <c r="T85" i="4"/>
  <c r="U85" i="4" s="1"/>
  <c r="S85" i="4"/>
  <c r="BP85" i="4" s="1"/>
  <c r="BZ84" i="4"/>
  <c r="BJ84" i="4"/>
  <c r="BK84" i="4" s="1"/>
  <c r="BC84" i="4"/>
  <c r="BD84" i="4" s="1"/>
  <c r="T84" i="4"/>
  <c r="S84" i="4"/>
  <c r="AS84" i="4" s="1"/>
  <c r="BZ83" i="4"/>
  <c r="BJ83" i="4"/>
  <c r="BK83" i="4" s="1"/>
  <c r="BC83" i="4"/>
  <c r="BD83" i="4" s="1"/>
  <c r="T83" i="4"/>
  <c r="S83" i="4"/>
  <c r="AR83" i="4" s="1"/>
  <c r="BZ82" i="4"/>
  <c r="BJ82" i="4"/>
  <c r="BK82" i="4" s="1"/>
  <c r="BC82" i="4"/>
  <c r="BD82" i="4" s="1"/>
  <c r="T82" i="4"/>
  <c r="S82" i="4"/>
  <c r="AK82" i="4" s="1"/>
  <c r="BX76" i="4"/>
  <c r="BZ75" i="4"/>
  <c r="BK75" i="4"/>
  <c r="BD75" i="4"/>
  <c r="T75" i="4"/>
  <c r="S75" i="4"/>
  <c r="BP75" i="4" s="1"/>
  <c r="BZ74" i="4"/>
  <c r="BK74" i="4"/>
  <c r="BD74" i="4"/>
  <c r="T74" i="4"/>
  <c r="V74" i="4" s="1"/>
  <c r="S74" i="4"/>
  <c r="AJ74" i="4" s="1"/>
  <c r="BZ73" i="4"/>
  <c r="BK73" i="4"/>
  <c r="BD73" i="4"/>
  <c r="T73" i="4"/>
  <c r="S73" i="4"/>
  <c r="BP73" i="4" s="1"/>
  <c r="BZ72" i="4"/>
  <c r="BK72" i="4"/>
  <c r="BD72" i="4"/>
  <c r="T72" i="4"/>
  <c r="S72" i="4"/>
  <c r="AK72" i="4" s="1"/>
  <c r="BZ71" i="4"/>
  <c r="T71" i="4"/>
  <c r="S71" i="4"/>
  <c r="AD71" i="4" s="1"/>
  <c r="BZ70" i="4"/>
  <c r="T70" i="4"/>
  <c r="V70" i="4" s="1"/>
  <c r="S70" i="4"/>
  <c r="BI70" i="4" s="1"/>
  <c r="BJ70" i="4" s="1"/>
  <c r="BZ69" i="4"/>
  <c r="BJ69" i="4"/>
  <c r="BK69" i="4" s="1"/>
  <c r="BC69" i="4"/>
  <c r="BD69" i="4" s="1"/>
  <c r="T69" i="4"/>
  <c r="S69" i="4"/>
  <c r="AJ69" i="4" s="1"/>
  <c r="BX68" i="4"/>
  <c r="BZ67" i="4"/>
  <c r="T67" i="4"/>
  <c r="S67" i="4"/>
  <c r="BI67" i="4" s="1"/>
  <c r="BJ67" i="4" s="1"/>
  <c r="BZ66" i="4"/>
  <c r="T66" i="4"/>
  <c r="U66" i="4" s="1"/>
  <c r="S66" i="4"/>
  <c r="BI66" i="4" s="1"/>
  <c r="BZ65" i="4"/>
  <c r="T65" i="4"/>
  <c r="U65" i="4" s="1"/>
  <c r="S65" i="4"/>
  <c r="BI65" i="4" s="1"/>
  <c r="BZ64" i="4"/>
  <c r="T64" i="4"/>
  <c r="W64" i="4" s="1"/>
  <c r="S64" i="4"/>
  <c r="BP64" i="4" s="1"/>
  <c r="BX63" i="4"/>
  <c r="BZ62" i="4"/>
  <c r="T62" i="4"/>
  <c r="W62" i="4" s="1"/>
  <c r="S62" i="4"/>
  <c r="AD62" i="4" s="1"/>
  <c r="BZ61" i="4"/>
  <c r="T61" i="4"/>
  <c r="W61" i="4" s="1"/>
  <c r="S61" i="4"/>
  <c r="BP61" i="4" s="1"/>
  <c r="BZ60" i="4"/>
  <c r="T60" i="4"/>
  <c r="W60" i="4" s="1"/>
  <c r="S60" i="4"/>
  <c r="BG60" i="4" s="1"/>
  <c r="BZ59" i="4"/>
  <c r="T59" i="4"/>
  <c r="S59" i="4"/>
  <c r="BP59" i="4" s="1"/>
  <c r="BZ58" i="4"/>
  <c r="T58" i="4"/>
  <c r="V58" i="4" s="1"/>
  <c r="S58" i="4"/>
  <c r="AL58" i="4" s="1"/>
  <c r="BZ57" i="4"/>
  <c r="T57" i="4"/>
  <c r="W57" i="4" s="1"/>
  <c r="S57" i="4"/>
  <c r="AL57" i="4" s="1"/>
  <c r="BX51" i="4"/>
  <c r="BY51" i="4" s="1"/>
  <c r="BZ51" i="4" s="1"/>
  <c r="BZ50" i="4"/>
  <c r="T50" i="4"/>
  <c r="S50" i="4"/>
  <c r="BI50" i="4" s="1"/>
  <c r="BZ49" i="4"/>
  <c r="T49" i="4"/>
  <c r="V49" i="4" s="1"/>
  <c r="S49" i="4"/>
  <c r="AB49" i="4" s="1"/>
  <c r="BZ48" i="4"/>
  <c r="T48" i="4"/>
  <c r="V48" i="4" s="1"/>
  <c r="S48" i="4"/>
  <c r="AZ48" i="4" s="1"/>
  <c r="BZ47" i="4"/>
  <c r="T47" i="4"/>
  <c r="V47" i="4" s="1"/>
  <c r="S47" i="4"/>
  <c r="BP47" i="4" s="1"/>
  <c r="T45" i="4"/>
  <c r="W45" i="4" s="1"/>
  <c r="S45" i="4"/>
  <c r="BP45" i="4" s="1"/>
  <c r="T44" i="4"/>
  <c r="W44" i="4" s="1"/>
  <c r="S44" i="4"/>
  <c r="BB44" i="4" s="1"/>
  <c r="T43" i="4"/>
  <c r="W43" i="4" s="1"/>
  <c r="S43" i="4"/>
  <c r="BW43" i="4" s="1"/>
  <c r="T42" i="4"/>
  <c r="W42" i="4" s="1"/>
  <c r="S42" i="4"/>
  <c r="AJ42" i="4" s="1"/>
  <c r="T41" i="4"/>
  <c r="W41" i="4" s="1"/>
  <c r="S41" i="4"/>
  <c r="BI41" i="4" s="1"/>
  <c r="T40" i="4"/>
  <c r="U40" i="4" s="1"/>
  <c r="S40" i="4"/>
  <c r="BV40" i="4" s="1"/>
  <c r="T39" i="4"/>
  <c r="S39" i="4"/>
  <c r="AC39" i="4" s="1"/>
  <c r="T38" i="4"/>
  <c r="W38" i="4" s="1"/>
  <c r="S38" i="4"/>
  <c r="AR38" i="4" s="1"/>
  <c r="T37" i="4"/>
  <c r="V37" i="4" s="1"/>
  <c r="S37" i="4"/>
  <c r="BW37" i="4" s="1"/>
  <c r="T36" i="4"/>
  <c r="S36" i="4"/>
  <c r="BB36" i="4" s="1"/>
  <c r="T35" i="4"/>
  <c r="U35" i="4" s="1"/>
  <c r="S35" i="4"/>
  <c r="AR35" i="4" s="1"/>
  <c r="BX29" i="4"/>
  <c r="BY29" i="4" s="1"/>
  <c r="BZ29" i="4" s="1"/>
  <c r="BZ28" i="4"/>
  <c r="T28" i="4"/>
  <c r="W28" i="4" s="1"/>
  <c r="S28" i="4"/>
  <c r="BB28" i="4" s="1"/>
  <c r="BC28" i="4" s="1"/>
  <c r="BZ27" i="4"/>
  <c r="T27" i="4"/>
  <c r="U27" i="4" s="1"/>
  <c r="S27" i="4"/>
  <c r="AB27" i="4" s="1"/>
  <c r="BZ26" i="4"/>
  <c r="T26" i="4"/>
  <c r="U26" i="4" s="1"/>
  <c r="S26" i="4"/>
  <c r="BG26" i="4" s="1"/>
  <c r="BZ25" i="4"/>
  <c r="T25" i="4"/>
  <c r="S25" i="4"/>
  <c r="AB25" i="4" s="1"/>
  <c r="T23" i="4"/>
  <c r="V23" i="4" s="1"/>
  <c r="S23" i="4"/>
  <c r="AR23" i="4" s="1"/>
  <c r="T22" i="4"/>
  <c r="W22" i="4" s="1"/>
  <c r="S22" i="4"/>
  <c r="BB22" i="4" s="1"/>
  <c r="BC22" i="4" s="1"/>
  <c r="T21" i="4"/>
  <c r="V21" i="4" s="1"/>
  <c r="S21" i="4"/>
  <c r="AR21" i="4" s="1"/>
  <c r="T20" i="4"/>
  <c r="W20" i="4" s="1"/>
  <c r="S20" i="4"/>
  <c r="BW20" i="4" s="1"/>
  <c r="T19" i="4"/>
  <c r="S19" i="4"/>
  <c r="BI19" i="4" s="1"/>
  <c r="T18" i="4"/>
  <c r="W18" i="4" s="1"/>
  <c r="S18" i="4"/>
  <c r="BI18" i="4" s="1"/>
  <c r="BJ18" i="4" s="1"/>
  <c r="BK18" i="4" s="1"/>
  <c r="T17" i="4"/>
  <c r="U17" i="4" s="1"/>
  <c r="S17" i="4"/>
  <c r="BB17" i="4" s="1"/>
  <c r="BC17" i="4" s="1"/>
  <c r="T16" i="4"/>
  <c r="U16" i="4" s="1"/>
  <c r="S16" i="4"/>
  <c r="AR16" i="4" s="1"/>
  <c r="V85" i="4" l="1"/>
  <c r="W88" i="4"/>
  <c r="AL93" i="4"/>
  <c r="AM93" i="4" s="1"/>
  <c r="U61" i="4"/>
  <c r="AD93" i="4"/>
  <c r="BP102" i="4"/>
  <c r="BR102" i="4" s="1"/>
  <c r="V17" i="4"/>
  <c r="AS107" i="4"/>
  <c r="AK69" i="4"/>
  <c r="BP65" i="4"/>
  <c r="BQ65" i="4" s="1"/>
  <c r="BL71" i="4"/>
  <c r="BP71" i="4" s="1"/>
  <c r="BQ71" i="4" s="1"/>
  <c r="F119" i="4"/>
  <c r="EF369" i="4"/>
  <c r="DU369" i="4" s="1"/>
  <c r="BQ352" i="4"/>
  <c r="BM356" i="4"/>
  <c r="AH23" i="4"/>
  <c r="AL23" i="4" s="1"/>
  <c r="AN23" i="4" s="1"/>
  <c r="BH60" i="4"/>
  <c r="AL101" i="4"/>
  <c r="AM101" i="4" s="1"/>
  <c r="AJ104" i="4"/>
  <c r="BX77" i="4"/>
  <c r="AJ101" i="4"/>
  <c r="AS88" i="4"/>
  <c r="BP98" i="4"/>
  <c r="AC16" i="4"/>
  <c r="AL91" i="4"/>
  <c r="AN91" i="4" s="1"/>
  <c r="AI16" i="4"/>
  <c r="W37" i="4"/>
  <c r="AC88" i="4"/>
  <c r="BP94" i="4"/>
  <c r="BR94" i="4" s="1"/>
  <c r="BP101" i="4"/>
  <c r="AR37" i="4"/>
  <c r="W48" i="4"/>
  <c r="AC49" i="4"/>
  <c r="BM339" i="4"/>
  <c r="BI23" i="4"/>
  <c r="BA48" i="4"/>
  <c r="AD91" i="4"/>
  <c r="AF91" i="4" s="1"/>
  <c r="AK111" i="4"/>
  <c r="BP112" i="4"/>
  <c r="V35" i="4"/>
  <c r="BG48" i="4"/>
  <c r="F67" i="4"/>
  <c r="BW17" i="4"/>
  <c r="BH48" i="4"/>
  <c r="AK75" i="4"/>
  <c r="AC82" i="4"/>
  <c r="BP83" i="4"/>
  <c r="BR83" i="4" s="1"/>
  <c r="U94" i="4"/>
  <c r="AD101" i="4"/>
  <c r="AL107" i="4"/>
  <c r="AN107" i="4" s="1"/>
  <c r="BI25" i="4"/>
  <c r="BJ25" i="4" s="1"/>
  <c r="BK25" i="4" s="1"/>
  <c r="U47" i="4"/>
  <c r="BY63" i="4"/>
  <c r="BZ63" i="4" s="1"/>
  <c r="W70" i="4"/>
  <c r="AT75" i="4"/>
  <c r="AH94" i="4"/>
  <c r="AL94" i="4" s="1"/>
  <c r="BV39" i="4"/>
  <c r="AD69" i="4"/>
  <c r="U74" i="4"/>
  <c r="U88" i="4"/>
  <c r="BI16" i="4"/>
  <c r="AL26" i="4"/>
  <c r="AL49" i="4"/>
  <c r="AN49" i="4" s="1"/>
  <c r="Y59" i="4"/>
  <c r="U62" i="4"/>
  <c r="W74" i="4"/>
  <c r="V86" i="4"/>
  <c r="AK88" i="4"/>
  <c r="U97" i="4"/>
  <c r="BW102" i="4"/>
  <c r="AK104" i="4"/>
  <c r="AL109" i="4"/>
  <c r="AN109" i="4" s="1"/>
  <c r="U20" i="4"/>
  <c r="BV16" i="4"/>
  <c r="V18" i="4"/>
  <c r="V20" i="4"/>
  <c r="BV21" i="4"/>
  <c r="W27" i="4"/>
  <c r="BP38" i="4"/>
  <c r="BQ38" i="4" s="1"/>
  <c r="U41" i="4"/>
  <c r="BI48" i="4"/>
  <c r="BJ48" i="4" s="1"/>
  <c r="BK48" i="4" s="1"/>
  <c r="AT49" i="4"/>
  <c r="AB50" i="4"/>
  <c r="V62" i="4"/>
  <c r="BI71" i="4"/>
  <c r="W86" i="4"/>
  <c r="AD108" i="4"/>
  <c r="AE108" i="4" s="1"/>
  <c r="AG108" i="4" s="1"/>
  <c r="AS109" i="4"/>
  <c r="ED363" i="4"/>
  <c r="AA18" i="4"/>
  <c r="AZ26" i="4"/>
  <c r="AC27" i="4"/>
  <c r="BW41" i="4"/>
  <c r="AH44" i="4"/>
  <c r="AL44" i="4" s="1"/>
  <c r="BP48" i="4"/>
  <c r="BQ48" i="4" s="1"/>
  <c r="AC50" i="4"/>
  <c r="V61" i="4"/>
  <c r="U64" i="4"/>
  <c r="AL66" i="4"/>
  <c r="AM66" i="4" s="1"/>
  <c r="W85" i="4"/>
  <c r="V96" i="4"/>
  <c r="AL108" i="4"/>
  <c r="AN108" i="4" s="1"/>
  <c r="AP20" i="4"/>
  <c r="AT20" i="4" s="1"/>
  <c r="AV20" i="4" s="1"/>
  <c r="AT25" i="4"/>
  <c r="AV25" i="4" s="1"/>
  <c r="BI26" i="4"/>
  <c r="AL27" i="4"/>
  <c r="AN27" i="4" s="1"/>
  <c r="U37" i="4"/>
  <c r="U48" i="4"/>
  <c r="BI49" i="4"/>
  <c r="BJ49" i="4" s="1"/>
  <c r="BK49" i="4" s="1"/>
  <c r="AL50" i="4"/>
  <c r="AM50" i="4" s="1"/>
  <c r="AT62" i="4"/>
  <c r="AV62" i="4" s="1"/>
  <c r="AT66" i="4"/>
  <c r="AV66" i="4" s="1"/>
  <c r="U100" i="4"/>
  <c r="W102" i="4"/>
  <c r="BV104" i="4"/>
  <c r="AL112" i="4"/>
  <c r="AN112" i="4" s="1"/>
  <c r="ED364" i="4"/>
  <c r="BB20" i="4"/>
  <c r="BT22" i="4"/>
  <c r="BX22" i="4" s="1"/>
  <c r="BP26" i="4"/>
  <c r="BQ26" i="4" s="1"/>
  <c r="BP27" i="4"/>
  <c r="BP50" i="4"/>
  <c r="BR50" i="4" s="1"/>
  <c r="BF60" i="4"/>
  <c r="AZ61" i="4"/>
  <c r="BH62" i="4"/>
  <c r="AY66" i="4"/>
  <c r="U70" i="4"/>
  <c r="AS83" i="4"/>
  <c r="AM91" i="4"/>
  <c r="AJ100" i="4"/>
  <c r="AK101" i="4"/>
  <c r="AJ102" i="4"/>
  <c r="BW104" i="4"/>
  <c r="AL106" i="4"/>
  <c r="AM106" i="4" s="1"/>
  <c r="AO106" i="4" s="1"/>
  <c r="AD111" i="4"/>
  <c r="AF111" i="4" s="1"/>
  <c r="AA17" i="4"/>
  <c r="AI19" i="4"/>
  <c r="BP20" i="4"/>
  <c r="BR20" i="4" s="1"/>
  <c r="AC37" i="4"/>
  <c r="Y42" i="4"/>
  <c r="AD48" i="4"/>
  <c r="AF48" i="4" s="1"/>
  <c r="BP49" i="4"/>
  <c r="BR49" i="4" s="1"/>
  <c r="U58" i="4"/>
  <c r="BV20" i="4"/>
  <c r="F27" i="4"/>
  <c r="Z112" i="4"/>
  <c r="AD112" i="4" s="1"/>
  <c r="AF112" i="4" s="1"/>
  <c r="BO364" i="4"/>
  <c r="AV94" i="4"/>
  <c r="AU94" i="4"/>
  <c r="AW94" i="4" s="1"/>
  <c r="BQ75" i="4"/>
  <c r="BR75" i="4"/>
  <c r="BS75" i="4" s="1"/>
  <c r="AF98" i="4"/>
  <c r="AE98" i="4"/>
  <c r="AG98" i="4" s="1"/>
  <c r="AK16" i="4"/>
  <c r="AS16" i="4"/>
  <c r="BP18" i="4"/>
  <c r="BI21" i="4"/>
  <c r="BJ21" i="4" s="1"/>
  <c r="BK21" i="4" s="1"/>
  <c r="BB23" i="4"/>
  <c r="BC23" i="4" s="1"/>
  <c r="BD23" i="4" s="1"/>
  <c r="AC25" i="4"/>
  <c r="AD26" i="4"/>
  <c r="AF26" i="4" s="1"/>
  <c r="BH26" i="4"/>
  <c r="V27" i="4"/>
  <c r="BI27" i="4"/>
  <c r="BJ27" i="4" s="1"/>
  <c r="BK27" i="4" s="1"/>
  <c r="AS35" i="4"/>
  <c r="BV37" i="4"/>
  <c r="BI38" i="4"/>
  <c r="BJ38" i="4" s="1"/>
  <c r="BK38" i="4" s="1"/>
  <c r="AR39" i="4"/>
  <c r="BV41" i="4"/>
  <c r="AR42" i="4"/>
  <c r="BI44" i="4"/>
  <c r="BJ44" i="4" s="1"/>
  <c r="BK44" i="4" s="1"/>
  <c r="AT60" i="4"/>
  <c r="AV60" i="4" s="1"/>
  <c r="BG65" i="4"/>
  <c r="AD66" i="4"/>
  <c r="BA67" i="4"/>
  <c r="BB70" i="4"/>
  <c r="BC70" i="4" s="1"/>
  <c r="BD70" i="4" s="1"/>
  <c r="AT71" i="4"/>
  <c r="AV71" i="4" s="1"/>
  <c r="AK74" i="4"/>
  <c r="AR82" i="4"/>
  <c r="BP88" i="4"/>
  <c r="AS89" i="4"/>
  <c r="W91" i="4"/>
  <c r="AD94" i="4"/>
  <c r="AT96" i="4"/>
  <c r="AH100" i="4"/>
  <c r="AL100" i="4" s="1"/>
  <c r="AS101" i="4"/>
  <c r="V102" i="4"/>
  <c r="AS104" i="4"/>
  <c r="V105" i="4"/>
  <c r="W106" i="4"/>
  <c r="BP108" i="4"/>
  <c r="BR108" i="4" s="1"/>
  <c r="EB340" i="4"/>
  <c r="ED340" i="4" s="1"/>
  <c r="BM345" i="4"/>
  <c r="BV18" i="4"/>
  <c r="BI35" i="4"/>
  <c r="BJ35" i="4" s="1"/>
  <c r="BK35" i="4" s="1"/>
  <c r="BV44" i="4"/>
  <c r="BH65" i="4"/>
  <c r="BG67" i="4"/>
  <c r="AR74" i="4"/>
  <c r="BO334" i="4"/>
  <c r="BH67" i="4"/>
  <c r="BP70" i="4"/>
  <c r="BO71" i="4"/>
  <c r="AS74" i="4"/>
  <c r="AT86" i="4"/>
  <c r="U93" i="4"/>
  <c r="BQ94" i="4"/>
  <c r="AL96" i="4"/>
  <c r="AN96" i="4" s="1"/>
  <c r="AK100" i="4"/>
  <c r="V101" i="4"/>
  <c r="AD102" i="4"/>
  <c r="AF102" i="4" s="1"/>
  <c r="BV102" i="4"/>
  <c r="U104" i="4"/>
  <c r="U108" i="4"/>
  <c r="V111" i="4"/>
  <c r="U112" i="4"/>
  <c r="BW40" i="4"/>
  <c r="BP23" i="4"/>
  <c r="BQ23" i="4" s="1"/>
  <c r="BV35" i="4"/>
  <c r="BP89" i="4"/>
  <c r="BQ89" i="4" s="1"/>
  <c r="V93" i="4"/>
  <c r="AJ94" i="4"/>
  <c r="AR100" i="4"/>
  <c r="W101" i="4"/>
  <c r="V104" i="4"/>
  <c r="W108" i="4"/>
  <c r="V112" i="4"/>
  <c r="BW18" i="4"/>
  <c r="U21" i="4"/>
  <c r="BW21" i="4"/>
  <c r="W23" i="4"/>
  <c r="V38" i="4"/>
  <c r="BV38" i="4"/>
  <c r="U43" i="4"/>
  <c r="U44" i="4"/>
  <c r="AE48" i="4"/>
  <c r="U57" i="4"/>
  <c r="U59" i="4"/>
  <c r="U60" i="4"/>
  <c r="BP60" i="4"/>
  <c r="BR65" i="4"/>
  <c r="U18" i="4"/>
  <c r="AC23" i="4"/>
  <c r="BV23" i="4"/>
  <c r="AT26" i="4"/>
  <c r="AV26" i="4" s="1"/>
  <c r="AT27" i="4"/>
  <c r="BW35" i="4"/>
  <c r="AJ37" i="4"/>
  <c r="BW38" i="4"/>
  <c r="V40" i="4"/>
  <c r="U42" i="4"/>
  <c r="V43" i="4"/>
  <c r="V44" i="4"/>
  <c r="U45" i="4"/>
  <c r="BB47" i="4"/>
  <c r="AL48" i="4"/>
  <c r="V57" i="4"/>
  <c r="AD58" i="4"/>
  <c r="V59" i="4"/>
  <c r="V60" i="4"/>
  <c r="AZ62" i="4"/>
  <c r="AD65" i="4"/>
  <c r="BA66" i="4"/>
  <c r="BP67" i="4"/>
  <c r="AT69" i="4"/>
  <c r="AV69" i="4" s="1"/>
  <c r="AJ73" i="4"/>
  <c r="AB82" i="4"/>
  <c r="W93" i="4"/>
  <c r="AK94" i="4"/>
  <c r="W96" i="4"/>
  <c r="AD97" i="4"/>
  <c r="AF97" i="4" s="1"/>
  <c r="AS100" i="4"/>
  <c r="AK102" i="4"/>
  <c r="V109" i="4"/>
  <c r="F75" i="4"/>
  <c r="BW23" i="4"/>
  <c r="AC38" i="4"/>
  <c r="W40" i="4"/>
  <c r="V45" i="4"/>
  <c r="W59" i="4"/>
  <c r="AL65" i="4"/>
  <c r="BG66" i="4"/>
  <c r="AD67" i="4"/>
  <c r="AF67" i="4" s="1"/>
  <c r="BP74" i="4"/>
  <c r="AD96" i="4"/>
  <c r="AF96" i="4" s="1"/>
  <c r="BP96" i="4"/>
  <c r="AL97" i="4"/>
  <c r="AN97" i="4" s="1"/>
  <c r="AR102" i="4"/>
  <c r="BP106" i="4"/>
  <c r="W109" i="4"/>
  <c r="BO336" i="4"/>
  <c r="BO352" i="4"/>
  <c r="W17" i="4"/>
  <c r="AK21" i="4"/>
  <c r="U22" i="4"/>
  <c r="AK23" i="4"/>
  <c r="V26" i="4"/>
  <c r="BA26" i="4"/>
  <c r="AC35" i="4"/>
  <c r="AS37" i="4"/>
  <c r="AK38" i="4"/>
  <c r="BB40" i="4"/>
  <c r="V41" i="4"/>
  <c r="AB42" i="4"/>
  <c r="BP43" i="4"/>
  <c r="AR44" i="4"/>
  <c r="AT48" i="4"/>
  <c r="AV48" i="4" s="1"/>
  <c r="AT58" i="4"/>
  <c r="AU58" i="4" s="1"/>
  <c r="BG59" i="4"/>
  <c r="AD60" i="4"/>
  <c r="BP62" i="4"/>
  <c r="V64" i="4"/>
  <c r="AT65" i="4"/>
  <c r="BH66" i="4"/>
  <c r="AL67" i="4"/>
  <c r="AN67" i="4" s="1"/>
  <c r="AL70" i="4"/>
  <c r="AM70" i="4" s="1"/>
  <c r="AD74" i="4"/>
  <c r="AF74" i="4" s="1"/>
  <c r="AJ82" i="4"/>
  <c r="AC83" i="4"/>
  <c r="BP86" i="4"/>
  <c r="AC89" i="4"/>
  <c r="U91" i="4"/>
  <c r="V94" i="4"/>
  <c r="AJ96" i="4"/>
  <c r="AJ97" i="4"/>
  <c r="AJ99" i="4"/>
  <c r="V100" i="4"/>
  <c r="U106" i="4"/>
  <c r="BP107" i="4"/>
  <c r="BR107" i="4" s="1"/>
  <c r="AD109" i="4"/>
  <c r="AT112" i="4"/>
  <c r="CF284" i="4"/>
  <c r="AC21" i="4"/>
  <c r="AS21" i="4"/>
  <c r="AS23" i="4"/>
  <c r="W26" i="4"/>
  <c r="BB27" i="4"/>
  <c r="AK35" i="4"/>
  <c r="BI37" i="4"/>
  <c r="AS38" i="4"/>
  <c r="BP40" i="4"/>
  <c r="BB49" i="4"/>
  <c r="BH58" i="4"/>
  <c r="BA65" i="4"/>
  <c r="BP66" i="4"/>
  <c r="AT67" i="4"/>
  <c r="BP69" i="4"/>
  <c r="BR69" i="4" s="1"/>
  <c r="AT70" i="4"/>
  <c r="AV70" i="4" s="1"/>
  <c r="AK83" i="4"/>
  <c r="AK89" i="4"/>
  <c r="AD90" i="4"/>
  <c r="BP91" i="4"/>
  <c r="AK93" i="4"/>
  <c r="AS97" i="4"/>
  <c r="AR99" i="4"/>
  <c r="U105" i="4"/>
  <c r="BP109" i="4"/>
  <c r="BO338" i="4"/>
  <c r="BM361" i="4"/>
  <c r="BO362" i="4"/>
  <c r="BM338" i="4"/>
  <c r="BO335" i="4"/>
  <c r="BO347" i="4"/>
  <c r="ED365" i="4"/>
  <c r="BO368" i="4"/>
  <c r="BO359" i="4" s="1"/>
  <c r="BP369" i="4"/>
  <c r="BP360" i="4" s="1"/>
  <c r="BO367" i="4"/>
  <c r="BO358" i="4" s="1"/>
  <c r="BN368" i="4"/>
  <c r="BN359" i="4" s="1"/>
  <c r="BM336" i="4"/>
  <c r="EE342" i="4"/>
  <c r="BO337" i="4"/>
  <c r="BO353" i="4"/>
  <c r="BO361" i="4"/>
  <c r="AH17" i="4"/>
  <c r="F18" i="4"/>
  <c r="AH18" i="4"/>
  <c r="AL18" i="4" s="1"/>
  <c r="AN18" i="4" s="1"/>
  <c r="AP19" i="4"/>
  <c r="AT19" i="4" s="1"/>
  <c r="AQ20" i="4"/>
  <c r="F21" i="4"/>
  <c r="AH21" i="4"/>
  <c r="AL21" i="4" s="1"/>
  <c r="AN21" i="4" s="1"/>
  <c r="BT21" i="4"/>
  <c r="BX21" i="4" s="1"/>
  <c r="BU22" i="4"/>
  <c r="AI23" i="4"/>
  <c r="Y26" i="4"/>
  <c r="BF26" i="4"/>
  <c r="AI38" i="4"/>
  <c r="BT40" i="4"/>
  <c r="BX40" i="4" s="1"/>
  <c r="BY40" i="4" s="1"/>
  <c r="BZ40" i="4" s="1"/>
  <c r="AI41" i="4"/>
  <c r="AA42" i="4"/>
  <c r="BU43" i="4"/>
  <c r="BF57" i="4"/>
  <c r="AH72" i="4"/>
  <c r="AL72" i="4" s="1"/>
  <c r="AH88" i="4"/>
  <c r="AL88" i="4" s="1"/>
  <c r="AN88" i="4" s="1"/>
  <c r="AI101" i="4"/>
  <c r="F103" i="4"/>
  <c r="BM334" i="4"/>
  <c r="BM337" i="4"/>
  <c r="BQ344" i="4"/>
  <c r="BQ348" i="4"/>
  <c r="ED351" i="4"/>
  <c r="ED362" i="4"/>
  <c r="BO363" i="4"/>
  <c r="BO371" i="4"/>
  <c r="BO372" i="4"/>
  <c r="AP16" i="4"/>
  <c r="AT16" i="4" s="1"/>
  <c r="AU16" i="4" s="1"/>
  <c r="AI17" i="4"/>
  <c r="AI18" i="4"/>
  <c r="F19" i="4"/>
  <c r="AQ19" i="4"/>
  <c r="AI21" i="4"/>
  <c r="BU21" i="4"/>
  <c r="Z22" i="4"/>
  <c r="AD22" i="4" s="1"/>
  <c r="F23" i="4"/>
  <c r="BT23" i="4"/>
  <c r="BX23" i="4" s="1"/>
  <c r="BY23" i="4" s="1"/>
  <c r="BZ23" i="4" s="1"/>
  <c r="Z35" i="4"/>
  <c r="AD35" i="4" s="1"/>
  <c r="AE35" i="4" s="1"/>
  <c r="BT41" i="4"/>
  <c r="BX41" i="4" s="1"/>
  <c r="F44" i="4"/>
  <c r="Z47" i="4"/>
  <c r="AD47" i="4" s="1"/>
  <c r="AA49" i="4"/>
  <c r="AQ64" i="4"/>
  <c r="BF66" i="4"/>
  <c r="F82" i="4"/>
  <c r="BT340" i="4"/>
  <c r="CF340" i="4" s="1"/>
  <c r="AL351" i="4"/>
  <c r="CK351" i="4" s="1"/>
  <c r="F16" i="4"/>
  <c r="AQ16" i="4"/>
  <c r="AP17" i="4"/>
  <c r="AT17" i="4" s="1"/>
  <c r="Y18" i="4"/>
  <c r="AP18" i="4"/>
  <c r="AT18" i="4" s="1"/>
  <c r="AU18" i="4" s="1"/>
  <c r="BT19" i="4"/>
  <c r="BX19" i="4" s="1"/>
  <c r="Y20" i="4"/>
  <c r="Y21" i="4"/>
  <c r="AA22" i="4"/>
  <c r="AP23" i="4"/>
  <c r="AT23" i="4" s="1"/>
  <c r="AV23" i="4" s="1"/>
  <c r="F36" i="4"/>
  <c r="AA40" i="4"/>
  <c r="F41" i="4"/>
  <c r="Y45" i="4"/>
  <c r="F58" i="4"/>
  <c r="AX58" i="4"/>
  <c r="BB58" i="4" s="1"/>
  <c r="BC58" i="4" s="1"/>
  <c r="BD58" i="4" s="1"/>
  <c r="AY62" i="4"/>
  <c r="AY64" i="4"/>
  <c r="AI69" i="4"/>
  <c r="Y74" i="4"/>
  <c r="AA84" i="4"/>
  <c r="BP283" i="4"/>
  <c r="BT283" i="4" s="1"/>
  <c r="BP284" i="4"/>
  <c r="BT284" i="4" s="1"/>
  <c r="BP285" i="4"/>
  <c r="BU285" i="4" s="1"/>
  <c r="CF286" i="4"/>
  <c r="BQ345" i="4"/>
  <c r="EE347" i="4"/>
  <c r="BQ349" i="4"/>
  <c r="BQ353" i="4"/>
  <c r="BN369" i="4"/>
  <c r="BN360" i="4" s="1"/>
  <c r="BQ369" i="4"/>
  <c r="BQ360" i="4" s="1"/>
  <c r="BM372" i="4"/>
  <c r="F17" i="4"/>
  <c r="Z16" i="4"/>
  <c r="AD16" i="4" s="1"/>
  <c r="AE16" i="4" s="1"/>
  <c r="AQ17" i="4"/>
  <c r="AQ18" i="4"/>
  <c r="BU19" i="4"/>
  <c r="Z20" i="4"/>
  <c r="AD20" i="4" s="1"/>
  <c r="AE20" i="4" s="1"/>
  <c r="AP21" i="4"/>
  <c r="AT21" i="4" s="1"/>
  <c r="AV21" i="4" s="1"/>
  <c r="AH22" i="4"/>
  <c r="AL22" i="4" s="1"/>
  <c r="AQ23" i="4"/>
  <c r="F26" i="4"/>
  <c r="Y37" i="4"/>
  <c r="AH39" i="4"/>
  <c r="AL39" i="4" s="1"/>
  <c r="AI40" i="4"/>
  <c r="AQ42" i="4"/>
  <c r="Y43" i="4"/>
  <c r="BU44" i="4"/>
  <c r="AP45" i="4"/>
  <c r="AT45" i="4" s="1"/>
  <c r="Y57" i="4"/>
  <c r="BF59" i="4"/>
  <c r="F64" i="4"/>
  <c r="BF65" i="4"/>
  <c r="AP91" i="4"/>
  <c r="AT91" i="4" s="1"/>
  <c r="AV91" i="4" s="1"/>
  <c r="F96" i="4"/>
  <c r="AQ109" i="4"/>
  <c r="BM335" i="4"/>
  <c r="AL356" i="4"/>
  <c r="CK356" i="4" s="1"/>
  <c r="BA360" i="4"/>
  <c r="EC362" i="4"/>
  <c r="EE362" i="4" s="1"/>
  <c r="EF371" i="4"/>
  <c r="F20" i="4"/>
  <c r="AQ21" i="4"/>
  <c r="F22" i="4"/>
  <c r="AI22" i="4"/>
  <c r="Z27" i="4"/>
  <c r="AD27" i="4" s="1"/>
  <c r="AE27" i="4" s="1"/>
  <c r="AP35" i="4"/>
  <c r="AT35" i="4" s="1"/>
  <c r="AU35" i="4" s="1"/>
  <c r="Y41" i="4"/>
  <c r="AQ43" i="4"/>
  <c r="BE62" i="4"/>
  <c r="BI62" i="4" s="1"/>
  <c r="F83" i="4"/>
  <c r="Y85" i="4"/>
  <c r="Y93" i="4"/>
  <c r="BO339" i="4"/>
  <c r="BP342" i="4"/>
  <c r="AL345" i="4"/>
  <c r="CK345" i="4" s="1"/>
  <c r="BN346" i="4"/>
  <c r="BQ354" i="4"/>
  <c r="AZ359" i="4"/>
  <c r="Z19" i="4"/>
  <c r="AD19" i="4" s="1"/>
  <c r="Y17" i="4"/>
  <c r="BT18" i="4"/>
  <c r="BX18" i="4" s="1"/>
  <c r="BY18" i="4" s="1"/>
  <c r="BZ18" i="4" s="1"/>
  <c r="AA19" i="4"/>
  <c r="AH20" i="4"/>
  <c r="AL20" i="4" s="1"/>
  <c r="AN20" i="4" s="1"/>
  <c r="BT20" i="4"/>
  <c r="BX20" i="4" s="1"/>
  <c r="BY20" i="4" s="1"/>
  <c r="BZ20" i="4" s="1"/>
  <c r="Z21" i="4"/>
  <c r="AD21" i="4" s="1"/>
  <c r="AF21" i="4" s="1"/>
  <c r="AP22" i="4"/>
  <c r="AT22" i="4" s="1"/>
  <c r="Z23" i="4"/>
  <c r="AD23" i="4" s="1"/>
  <c r="AE23" i="4" s="1"/>
  <c r="AI36" i="4"/>
  <c r="BT42" i="4"/>
  <c r="BX42" i="4" s="1"/>
  <c r="AY48" i="4"/>
  <c r="F59" i="4"/>
  <c r="F73" i="4"/>
  <c r="Y86" i="4"/>
  <c r="F95" i="4"/>
  <c r="Y97" i="4"/>
  <c r="Z110" i="4"/>
  <c r="AD110" i="4" s="1"/>
  <c r="Y112" i="4"/>
  <c r="AA16" i="4"/>
  <c r="AA20" i="4"/>
  <c r="BT16" i="4"/>
  <c r="BX16" i="4" s="1"/>
  <c r="BT17" i="4"/>
  <c r="BX17" i="4" s="1"/>
  <c r="BY17" i="4" s="1"/>
  <c r="AH16" i="4"/>
  <c r="AL16" i="4" s="1"/>
  <c r="BU16" i="4"/>
  <c r="Z17" i="4"/>
  <c r="AD17" i="4" s="1"/>
  <c r="BU17" i="4"/>
  <c r="Z18" i="4"/>
  <c r="AD18" i="4" s="1"/>
  <c r="AF18" i="4" s="1"/>
  <c r="BU18" i="4"/>
  <c r="AH19" i="4"/>
  <c r="AL19" i="4" s="1"/>
  <c r="AI20" i="4"/>
  <c r="BU20" i="4"/>
  <c r="AA21" i="4"/>
  <c r="Y22" i="4"/>
  <c r="AQ22" i="4"/>
  <c r="Z25" i="4"/>
  <c r="AD25" i="4" s="1"/>
  <c r="AF25" i="4" s="1"/>
  <c r="AQ36" i="4"/>
  <c r="AQ37" i="4"/>
  <c r="Z44" i="4"/>
  <c r="AD44" i="4" s="1"/>
  <c r="F50" i="4"/>
  <c r="BF67" i="4"/>
  <c r="F69" i="4"/>
  <c r="Z70" i="4"/>
  <c r="AD70" i="4" s="1"/>
  <c r="AF70" i="4" s="1"/>
  <c r="AP74" i="4"/>
  <c r="AT74" i="4" s="1"/>
  <c r="AU74" i="4" s="1"/>
  <c r="AQ90" i="4"/>
  <c r="AQ105" i="4"/>
  <c r="F107" i="4"/>
  <c r="BP340" i="4"/>
  <c r="BO344" i="4"/>
  <c r="BQ347" i="4"/>
  <c r="BN351" i="4"/>
  <c r="BO365" i="4"/>
  <c r="BK67" i="4"/>
  <c r="EB361" i="4"/>
  <c r="ED361" i="4" s="1"/>
  <c r="EC361" i="4"/>
  <c r="EE361" i="4" s="1"/>
  <c r="BQ370" i="4"/>
  <c r="BP370" i="4"/>
  <c r="BN350" i="4"/>
  <c r="BQ350" i="4"/>
  <c r="BP350" i="4"/>
  <c r="EC365" i="4"/>
  <c r="EE365" i="4" s="1"/>
  <c r="EE366" i="4"/>
  <c r="BM355" i="4"/>
  <c r="BQ355" i="4"/>
  <c r="BP355" i="4"/>
  <c r="BN355" i="4"/>
  <c r="AU23" i="4"/>
  <c r="EE340" i="4"/>
  <c r="AA70" i="4"/>
  <c r="F70" i="4"/>
  <c r="Y65" i="4"/>
  <c r="AX64" i="4"/>
  <c r="BB64" i="4" s="1"/>
  <c r="F62" i="4"/>
  <c r="Z49" i="4"/>
  <c r="AD49" i="4" s="1"/>
  <c r="AF49" i="4" s="1"/>
  <c r="AX48" i="4"/>
  <c r="BB48" i="4" s="1"/>
  <c r="BC48" i="4" s="1"/>
  <c r="BD48" i="4" s="1"/>
  <c r="AQ45" i="4"/>
  <c r="BT44" i="4"/>
  <c r="BX44" i="4" s="1"/>
  <c r="AA44" i="4"/>
  <c r="AP43" i="4"/>
  <c r="AT43" i="4" s="1"/>
  <c r="AV43" i="4" s="1"/>
  <c r="Z42" i="4"/>
  <c r="AD42" i="4" s="1"/>
  <c r="BU41" i="4"/>
  <c r="AH41" i="4"/>
  <c r="AL41" i="4" s="1"/>
  <c r="AH40" i="4"/>
  <c r="AL40" i="4" s="1"/>
  <c r="F40" i="4"/>
  <c r="AI39" i="4"/>
  <c r="F39" i="4"/>
  <c r="AH38" i="4"/>
  <c r="AL38" i="4" s="1"/>
  <c r="AN38" i="4" s="1"/>
  <c r="F38" i="4"/>
  <c r="AP37" i="4"/>
  <c r="AT37" i="4" s="1"/>
  <c r="AP36" i="4"/>
  <c r="AT36" i="4" s="1"/>
  <c r="AQ35" i="4"/>
  <c r="AA35" i="4"/>
  <c r="F28" i="4"/>
  <c r="AP108" i="4"/>
  <c r="AT108" i="4" s="1"/>
  <c r="AU108" i="4" s="1"/>
  <c r="F108" i="4"/>
  <c r="AP106" i="4"/>
  <c r="AT106" i="4" s="1"/>
  <c r="Y105" i="4"/>
  <c r="BU104" i="4"/>
  <c r="AP104" i="4"/>
  <c r="AT104" i="4" s="1"/>
  <c r="AQ103" i="4"/>
  <c r="AI102" i="4"/>
  <c r="Y101" i="4"/>
  <c r="F98" i="4"/>
  <c r="AP97" i="4"/>
  <c r="AT97" i="4" s="1"/>
  <c r="F97" i="4"/>
  <c r="AI89" i="4"/>
  <c r="AA88" i="4"/>
  <c r="AQ85" i="4"/>
  <c r="AH83" i="4"/>
  <c r="AL83" i="4" s="1"/>
  <c r="AN83" i="4" s="1"/>
  <c r="AI82" i="4"/>
  <c r="AH69" i="4"/>
  <c r="AL69" i="4" s="1"/>
  <c r="AN69" i="4" s="1"/>
  <c r="AY67" i="4"/>
  <c r="AX66" i="4"/>
  <c r="BB66" i="4" s="1"/>
  <c r="BC66" i="4" s="1"/>
  <c r="BD66" i="4" s="1"/>
  <c r="F66" i="4"/>
  <c r="AY59" i="4"/>
  <c r="AY57" i="4"/>
  <c r="Y44" i="4"/>
  <c r="BT43" i="4"/>
  <c r="BX43" i="4" s="1"/>
  <c r="BY43" i="4" s="1"/>
  <c r="BZ43" i="4" s="1"/>
  <c r="AI43" i="4"/>
  <c r="AP42" i="4"/>
  <c r="AT42" i="4" s="1"/>
  <c r="AA41" i="4"/>
  <c r="Z40" i="4"/>
  <c r="AD40" i="4" s="1"/>
  <c r="BU39" i="4"/>
  <c r="AA38" i="4"/>
  <c r="BU37" i="4"/>
  <c r="AI37" i="4"/>
  <c r="AH36" i="4"/>
  <c r="AL36" i="4" s="1"/>
  <c r="BU35" i="4"/>
  <c r="AA27" i="4"/>
  <c r="F25" i="4"/>
  <c r="AA23" i="4"/>
  <c r="AH75" i="4"/>
  <c r="AL75" i="4" s="1"/>
  <c r="AP73" i="4"/>
  <c r="AT73" i="4" s="1"/>
  <c r="AX67" i="4"/>
  <c r="BB67" i="4" s="1"/>
  <c r="BC67" i="4" s="1"/>
  <c r="BD67" i="4" s="1"/>
  <c r="AY65" i="4"/>
  <c r="BF61" i="4"/>
  <c r="AY60" i="4"/>
  <c r="AX59" i="4"/>
  <c r="BB59" i="4" s="1"/>
  <c r="BC59" i="4" s="1"/>
  <c r="BD59" i="4" s="1"/>
  <c r="AX57" i="4"/>
  <c r="BB57" i="4" s="1"/>
  <c r="F57" i="4"/>
  <c r="BF48" i="4"/>
  <c r="F48" i="4"/>
  <c r="AI45" i="4"/>
  <c r="AH43" i="4"/>
  <c r="AL43" i="4" s="1"/>
  <c r="AN43" i="4" s="1"/>
  <c r="AQ41" i="4"/>
  <c r="Z41" i="4"/>
  <c r="AD41" i="4" s="1"/>
  <c r="AE41" i="4" s="1"/>
  <c r="Y40" i="4"/>
  <c r="BT39" i="4"/>
  <c r="BX39" i="4" s="1"/>
  <c r="AQ38" i="4"/>
  <c r="Z38" i="4"/>
  <c r="AD38" i="4" s="1"/>
  <c r="AF38" i="4" s="1"/>
  <c r="BT37" i="4"/>
  <c r="BX37" i="4" s="1"/>
  <c r="BY37" i="4" s="1"/>
  <c r="BZ37" i="4" s="1"/>
  <c r="AH37" i="4"/>
  <c r="AL37" i="4" s="1"/>
  <c r="AM37" i="4" s="1"/>
  <c r="AA36" i="4"/>
  <c r="BT35" i="4"/>
  <c r="BX35" i="4" s="1"/>
  <c r="AA28" i="4"/>
  <c r="AX65" i="4"/>
  <c r="BB65" i="4" s="1"/>
  <c r="BC65" i="4" s="1"/>
  <c r="BD65" i="4" s="1"/>
  <c r="F65" i="4"/>
  <c r="BE61" i="4"/>
  <c r="BI61" i="4" s="1"/>
  <c r="F61" i="4"/>
  <c r="AX60" i="4"/>
  <c r="BB60" i="4" s="1"/>
  <c r="BC60" i="4" s="1"/>
  <c r="BD60" i="4" s="1"/>
  <c r="BF58" i="4"/>
  <c r="AQ57" i="4"/>
  <c r="F49" i="4"/>
  <c r="F47" i="4"/>
  <c r="AH45" i="4"/>
  <c r="AL45" i="4" s="1"/>
  <c r="AN45" i="4" s="1"/>
  <c r="AQ44" i="4"/>
  <c r="AI42" i="4"/>
  <c r="AP41" i="4"/>
  <c r="AT41" i="4" s="1"/>
  <c r="AV41" i="4" s="1"/>
  <c r="AA39" i="4"/>
  <c r="BU38" i="4"/>
  <c r="AP38" i="4"/>
  <c r="AT38" i="4" s="1"/>
  <c r="AV38" i="4" s="1"/>
  <c r="F37" i="4"/>
  <c r="Z36" i="4"/>
  <c r="AD36" i="4" s="1"/>
  <c r="AI35" i="4"/>
  <c r="Z28" i="4"/>
  <c r="AD28" i="4" s="1"/>
  <c r="Y27" i="4"/>
  <c r="AY26" i="4"/>
  <c r="Y23" i="4"/>
  <c r="AI73" i="4"/>
  <c r="AQ72" i="4"/>
  <c r="F72" i="4"/>
  <c r="Y71" i="4"/>
  <c r="F60" i="4"/>
  <c r="AA50" i="4"/>
  <c r="BU45" i="4"/>
  <c r="AA45" i="4"/>
  <c r="F45" i="4"/>
  <c r="AP44" i="4"/>
  <c r="AT44" i="4" s="1"/>
  <c r="AV44" i="4" s="1"/>
  <c r="AA43" i="4"/>
  <c r="F43" i="4"/>
  <c r="AH42" i="4"/>
  <c r="AL42" i="4" s="1"/>
  <c r="F42" i="4"/>
  <c r="AQ40" i="4"/>
  <c r="AQ39" i="4"/>
  <c r="Z39" i="4"/>
  <c r="AD39" i="4" s="1"/>
  <c r="BT38" i="4"/>
  <c r="BX38" i="4" s="1"/>
  <c r="BY38" i="4" s="1"/>
  <c r="BZ38" i="4" s="1"/>
  <c r="AA37" i="4"/>
  <c r="BU36" i="4"/>
  <c r="AH35" i="4"/>
  <c r="AL35" i="4" s="1"/>
  <c r="AN35" i="4" s="1"/>
  <c r="AX26" i="4"/>
  <c r="BB26" i="4" s="1"/>
  <c r="BC26" i="4" s="1"/>
  <c r="BD26" i="4" s="1"/>
  <c r="Y66" i="4"/>
  <c r="BF64" i="4"/>
  <c r="BF62" i="4"/>
  <c r="AY61" i="4"/>
  <c r="AY58" i="4"/>
  <c r="Z50" i="4"/>
  <c r="AD50" i="4" s="1"/>
  <c r="Y48" i="4"/>
  <c r="AA47" i="4"/>
  <c r="BT45" i="4"/>
  <c r="BX45" i="4" s="1"/>
  <c r="Z45" i="4"/>
  <c r="AD45" i="4" s="1"/>
  <c r="AI44" i="4"/>
  <c r="Z43" i="4"/>
  <c r="AD43" i="4" s="1"/>
  <c r="AF43" i="4" s="1"/>
  <c r="BU42" i="4"/>
  <c r="BU40" i="4"/>
  <c r="AP40" i="4"/>
  <c r="AT40" i="4" s="1"/>
  <c r="AP39" i="4"/>
  <c r="AT39" i="4" s="1"/>
  <c r="Z37" i="4"/>
  <c r="AD37" i="4" s="1"/>
  <c r="AE37" i="4" s="1"/>
  <c r="BT36" i="4"/>
  <c r="BX36" i="4" s="1"/>
  <c r="F35" i="4"/>
  <c r="AA25" i="4"/>
  <c r="BU23" i="4"/>
  <c r="Y28" i="4"/>
  <c r="Y38" i="4"/>
  <c r="Y62" i="4"/>
  <c r="AP72" i="4"/>
  <c r="AT72" i="4" s="1"/>
  <c r="AH73" i="4"/>
  <c r="AL73" i="4" s="1"/>
  <c r="Z82" i="4"/>
  <c r="AD82" i="4" s="1"/>
  <c r="AP82" i="4"/>
  <c r="AT82" i="4" s="1"/>
  <c r="AP83" i="4"/>
  <c r="AT83" i="4" s="1"/>
  <c r="AU83" i="4" s="1"/>
  <c r="AW83" i="4" s="1"/>
  <c r="AH84" i="4"/>
  <c r="AL84" i="4" s="1"/>
  <c r="AN84" i="4" s="1"/>
  <c r="Z85" i="4"/>
  <c r="AD85" i="4" s="1"/>
  <c r="Z86" i="4"/>
  <c r="AD86" i="4" s="1"/>
  <c r="Z87" i="4"/>
  <c r="AD87" i="4" s="1"/>
  <c r="AI88" i="4"/>
  <c r="Z89" i="4"/>
  <c r="AD89" i="4" s="1"/>
  <c r="AE89" i="4" s="1"/>
  <c r="AP89" i="4"/>
  <c r="AT89" i="4" s="1"/>
  <c r="AV89" i="4" s="1"/>
  <c r="AQ91" i="4"/>
  <c r="F92" i="4"/>
  <c r="F94" i="4"/>
  <c r="AP99" i="4"/>
  <c r="AT99" i="4" s="1"/>
  <c r="F101" i="4"/>
  <c r="BT103" i="4"/>
  <c r="BX103" i="4" s="1"/>
  <c r="Y104" i="4"/>
  <c r="F105" i="4"/>
  <c r="AA110" i="4"/>
  <c r="Y111" i="4"/>
  <c r="AA112" i="4"/>
  <c r="BO285" i="4"/>
  <c r="BP286" i="4"/>
  <c r="BT286" i="4" s="1"/>
  <c r="AL334" i="4"/>
  <c r="CK334" i="4" s="1"/>
  <c r="BT334" i="4"/>
  <c r="CF334" i="4" s="1"/>
  <c r="AL336" i="4"/>
  <c r="CK336" i="4" s="1"/>
  <c r="BT336" i="4"/>
  <c r="CF336" i="4" s="1"/>
  <c r="AL338" i="4"/>
  <c r="CK338" i="4" s="1"/>
  <c r="BT338" i="4"/>
  <c r="CF338" i="4" s="1"/>
  <c r="AL340" i="4"/>
  <c r="CK340" i="4" s="1"/>
  <c r="BT342" i="4"/>
  <c r="CF342" i="4" s="1"/>
  <c r="BQ343" i="4"/>
  <c r="BT345" i="4"/>
  <c r="CF345" i="4" s="1"/>
  <c r="AL347" i="4"/>
  <c r="CK347" i="4" s="1"/>
  <c r="BO348" i="4"/>
  <c r="AL349" i="4"/>
  <c r="CK349" i="4" s="1"/>
  <c r="AL354" i="4"/>
  <c r="CK354" i="4" s="1"/>
  <c r="BQ357" i="4"/>
  <c r="BM363" i="4"/>
  <c r="BN370" i="4"/>
  <c r="Y36" i="4"/>
  <c r="Y58" i="4"/>
  <c r="Y64" i="4"/>
  <c r="F74" i="4"/>
  <c r="AH74" i="4"/>
  <c r="AL74" i="4" s="1"/>
  <c r="AM74" i="4" s="1"/>
  <c r="AA82" i="4"/>
  <c r="AQ82" i="4"/>
  <c r="AQ83" i="4"/>
  <c r="AI84" i="4"/>
  <c r="F85" i="4"/>
  <c r="AA85" i="4"/>
  <c r="F86" i="4"/>
  <c r="AA86" i="4"/>
  <c r="AA87" i="4"/>
  <c r="AA89" i="4"/>
  <c r="AQ89" i="4"/>
  <c r="F90" i="4"/>
  <c r="F93" i="4"/>
  <c r="Y95" i="4"/>
  <c r="AQ99" i="4"/>
  <c r="AP100" i="4"/>
  <c r="AT100" i="4" s="1"/>
  <c r="AP102" i="4"/>
  <c r="AT102" i="4" s="1"/>
  <c r="BU103" i="4"/>
  <c r="AH104" i="4"/>
  <c r="AL104" i="4" s="1"/>
  <c r="BO288" i="4"/>
  <c r="BT347" i="4"/>
  <c r="CF347" i="4" s="1"/>
  <c r="AL366" i="4"/>
  <c r="CK366" i="4" s="1"/>
  <c r="BT366" i="4"/>
  <c r="CF366" i="4" s="1"/>
  <c r="Y35" i="4"/>
  <c r="Y69" i="4"/>
  <c r="AI74" i="4"/>
  <c r="Y75" i="4"/>
  <c r="Z83" i="4"/>
  <c r="AD83" i="4" s="1"/>
  <c r="AE83" i="4" s="1"/>
  <c r="AG83" i="4" s="1"/>
  <c r="AP84" i="4"/>
  <c r="AT84" i="4" s="1"/>
  <c r="AH85" i="4"/>
  <c r="AL85" i="4" s="1"/>
  <c r="AP88" i="4"/>
  <c r="AT88" i="4" s="1"/>
  <c r="AU88" i="4" s="1"/>
  <c r="AW88" i="4" s="1"/>
  <c r="Y91" i="4"/>
  <c r="AI93" i="4"/>
  <c r="AI95" i="4"/>
  <c r="AI98" i="4"/>
  <c r="F99" i="4"/>
  <c r="AQ100" i="4"/>
  <c r="AP101" i="4"/>
  <c r="AT101" i="4" s="1"/>
  <c r="AV101" i="4" s="1"/>
  <c r="Y102" i="4"/>
  <c r="AQ102" i="4"/>
  <c r="BT102" i="4"/>
  <c r="BX102" i="4" s="1"/>
  <c r="BY102" i="4" s="1"/>
  <c r="BZ102" i="4" s="1"/>
  <c r="AH103" i="4"/>
  <c r="AL103" i="4" s="1"/>
  <c r="F104" i="4"/>
  <c r="AI104" i="4"/>
  <c r="Y106" i="4"/>
  <c r="Y108" i="4"/>
  <c r="AH111" i="4"/>
  <c r="AL111" i="4" s="1"/>
  <c r="AN111" i="4" s="1"/>
  <c r="Z119" i="4"/>
  <c r="AD119" i="4" s="1"/>
  <c r="BO289" i="4"/>
  <c r="BN335" i="4"/>
  <c r="BN337" i="4"/>
  <c r="BN339" i="4"/>
  <c r="BP346" i="4"/>
  <c r="BN348" i="4"/>
  <c r="AL350" i="4"/>
  <c r="CK350" i="4" s="1"/>
  <c r="AL355" i="4"/>
  <c r="CK355" i="4" s="1"/>
  <c r="AL359" i="4"/>
  <c r="CK359" i="4" s="1"/>
  <c r="EC364" i="4"/>
  <c r="EE364" i="4" s="1"/>
  <c r="BM368" i="4"/>
  <c r="BM359" i="4" s="1"/>
  <c r="Y60" i="4"/>
  <c r="AA83" i="4"/>
  <c r="F84" i="4"/>
  <c r="AQ84" i="4"/>
  <c r="AI85" i="4"/>
  <c r="Y88" i="4"/>
  <c r="AQ88" i="4"/>
  <c r="Y90" i="4"/>
  <c r="AI92" i="4"/>
  <c r="AI94" i="4"/>
  <c r="AI97" i="4"/>
  <c r="AP98" i="4"/>
  <c r="AT98" i="4" s="1"/>
  <c r="AV98" i="4" s="1"/>
  <c r="AQ101" i="4"/>
  <c r="BU102" i="4"/>
  <c r="AI103" i="4"/>
  <c r="AP107" i="4"/>
  <c r="AT107" i="4" s="1"/>
  <c r="AV107" i="4" s="1"/>
  <c r="F109" i="4"/>
  <c r="AI111" i="4"/>
  <c r="AA119" i="4"/>
  <c r="BQ340" i="4"/>
  <c r="BO340" i="4"/>
  <c r="BT341" i="4"/>
  <c r="CF341" i="4" s="1"/>
  <c r="AL343" i="4"/>
  <c r="CK343" i="4" s="1"/>
  <c r="BO345" i="4"/>
  <c r="BQ346" i="4"/>
  <c r="BP348" i="4"/>
  <c r="BT350" i="4"/>
  <c r="CF350" i="4" s="1"/>
  <c r="ED350" i="4"/>
  <c r="BO351" i="4"/>
  <c r="AL352" i="4"/>
  <c r="CK352" i="4" s="1"/>
  <c r="BP353" i="4"/>
  <c r="BO356" i="4"/>
  <c r="AL357" i="4"/>
  <c r="CK357" i="4" s="1"/>
  <c r="AL365" i="4"/>
  <c r="CK365" i="4" s="1"/>
  <c r="BT370" i="4"/>
  <c r="Y47" i="4"/>
  <c r="Y49" i="4"/>
  <c r="Y61" i="4"/>
  <c r="Y70" i="4"/>
  <c r="Y72" i="4"/>
  <c r="AQ73" i="4"/>
  <c r="AI75" i="4"/>
  <c r="AH82" i="4"/>
  <c r="AL82" i="4" s="1"/>
  <c r="AP85" i="4"/>
  <c r="AT85" i="4" s="1"/>
  <c r="F87" i="4"/>
  <c r="Z88" i="4"/>
  <c r="AD88" i="4" s="1"/>
  <c r="AF88" i="4" s="1"/>
  <c r="F89" i="4"/>
  <c r="AH89" i="4"/>
  <c r="AL89" i="4" s="1"/>
  <c r="AN89" i="4" s="1"/>
  <c r="F91" i="4"/>
  <c r="Y96" i="4"/>
  <c r="AQ98" i="4"/>
  <c r="Y99" i="4"/>
  <c r="Y100" i="4"/>
  <c r="F102" i="4"/>
  <c r="AH102" i="4"/>
  <c r="AL102" i="4" s="1"/>
  <c r="AN102" i="4" s="1"/>
  <c r="AP103" i="4"/>
  <c r="AT103" i="4" s="1"/>
  <c r="BT104" i="4"/>
  <c r="BX104" i="4" s="1"/>
  <c r="BY104" i="4" s="1"/>
  <c r="F106" i="4"/>
  <c r="AQ107" i="4"/>
  <c r="F110" i="4"/>
  <c r="F111" i="4"/>
  <c r="AL335" i="4"/>
  <c r="CK335" i="4" s="1"/>
  <c r="BT335" i="4"/>
  <c r="CF335" i="4" s="1"/>
  <c r="AL337" i="4"/>
  <c r="CK337" i="4" s="1"/>
  <c r="BT337" i="4"/>
  <c r="CF337" i="4" s="1"/>
  <c r="AL339" i="4"/>
  <c r="CK339" i="4" s="1"/>
  <c r="BT339" i="4"/>
  <c r="CF339" i="4" s="1"/>
  <c r="BR340" i="4"/>
  <c r="AL341" i="4"/>
  <c r="CK341" i="4" s="1"/>
  <c r="BO342" i="4"/>
  <c r="AL346" i="4"/>
  <c r="CK346" i="4" s="1"/>
  <c r="AL348" i="4"/>
  <c r="CK348" i="4" s="1"/>
  <c r="BO354" i="4"/>
  <c r="BQ356" i="4"/>
  <c r="AL362" i="4"/>
  <c r="CK362" i="4" s="1"/>
  <c r="BT362" i="4"/>
  <c r="CF362" i="4" s="1"/>
  <c r="BN283" i="4"/>
  <c r="BR342" i="4"/>
  <c r="BT343" i="4"/>
  <c r="CF343" i="4" s="1"/>
  <c r="AL344" i="4"/>
  <c r="CK344" i="4" s="1"/>
  <c r="BN345" i="4"/>
  <c r="BT346" i="4"/>
  <c r="CF346" i="4" s="1"/>
  <c r="BQ351" i="4"/>
  <c r="BP351" i="4"/>
  <c r="AL353" i="4"/>
  <c r="CK353" i="4" s="1"/>
  <c r="BN356" i="4"/>
  <c r="BT367" i="4"/>
  <c r="AL368" i="4"/>
  <c r="BP368" i="4"/>
  <c r="BP359" i="4" s="1"/>
  <c r="F71" i="4"/>
  <c r="BM71" i="4"/>
  <c r="AI72" i="4"/>
  <c r="AQ74" i="4"/>
  <c r="AI83" i="4"/>
  <c r="Z84" i="4"/>
  <c r="AD84" i="4" s="1"/>
  <c r="Y87" i="4"/>
  <c r="F88" i="4"/>
  <c r="Y89" i="4"/>
  <c r="AP90" i="4"/>
  <c r="AT90" i="4" s="1"/>
  <c r="Y94" i="4"/>
  <c r="AI96" i="4"/>
  <c r="AQ97" i="4"/>
  <c r="AI99" i="4"/>
  <c r="F100" i="4"/>
  <c r="AI100" i="4"/>
  <c r="AQ104" i="4"/>
  <c r="AP105" i="4"/>
  <c r="AT105" i="4" s="1"/>
  <c r="AQ106" i="4"/>
  <c r="AQ108" i="4"/>
  <c r="AP109" i="4"/>
  <c r="AT109" i="4" s="1"/>
  <c r="Y110" i="4"/>
  <c r="BP282" i="4"/>
  <c r="BU282" i="4" s="1"/>
  <c r="BO283" i="4"/>
  <c r="BN334" i="4"/>
  <c r="BN336" i="4"/>
  <c r="BN338" i="4"/>
  <c r="BR341" i="4"/>
  <c r="BT344" i="4"/>
  <c r="CF344" i="4" s="1"/>
  <c r="BP345" i="4"/>
  <c r="BP347" i="4"/>
  <c r="BT353" i="4"/>
  <c r="CF353" i="4" s="1"/>
  <c r="BO355" i="4"/>
  <c r="BP356" i="4"/>
  <c r="AL361" i="4"/>
  <c r="CK361" i="4" s="1"/>
  <c r="EC363" i="4"/>
  <c r="EE363" i="4" s="1"/>
  <c r="BQ368" i="4"/>
  <c r="BQ359" i="4" s="1"/>
  <c r="BO370" i="4"/>
  <c r="BJ19" i="4"/>
  <c r="BK19" i="4" s="1"/>
  <c r="AB19" i="4"/>
  <c r="AR19" i="4"/>
  <c r="BC20" i="4"/>
  <c r="BD20" i="4" s="1"/>
  <c r="U25" i="4"/>
  <c r="Y25" i="4"/>
  <c r="W25" i="4"/>
  <c r="V25" i="4"/>
  <c r="BQ47" i="4"/>
  <c r="BR47" i="4"/>
  <c r="AN57" i="4"/>
  <c r="AM57" i="4"/>
  <c r="AC19" i="4"/>
  <c r="AS19" i="4"/>
  <c r="BQ27" i="4"/>
  <c r="BR27" i="4"/>
  <c r="W16" i="4"/>
  <c r="V16" i="4"/>
  <c r="Y16" i="4" s="1"/>
  <c r="BD17" i="4"/>
  <c r="BD22" i="4"/>
  <c r="AN58" i="4"/>
  <c r="AM58" i="4"/>
  <c r="BR61" i="4"/>
  <c r="BQ61" i="4"/>
  <c r="BJ71" i="4"/>
  <c r="BK71" i="4" s="1"/>
  <c r="BB19" i="4"/>
  <c r="BP19" i="4"/>
  <c r="BW19" i="4"/>
  <c r="BV19" i="4"/>
  <c r="AJ19" i="4"/>
  <c r="BJ16" i="4"/>
  <c r="BK16" i="4" s="1"/>
  <c r="BR18" i="4"/>
  <c r="BQ18" i="4"/>
  <c r="Y19" i="4"/>
  <c r="W19" i="4"/>
  <c r="V19" i="4"/>
  <c r="U19" i="4"/>
  <c r="AK19" i="4"/>
  <c r="BJ26" i="4"/>
  <c r="BK26" i="4" s="1"/>
  <c r="BD28" i="4"/>
  <c r="BC36" i="4"/>
  <c r="BD36" i="4" s="1"/>
  <c r="AB22" i="4"/>
  <c r="AJ22" i="4"/>
  <c r="W21" i="4"/>
  <c r="BP21" i="4"/>
  <c r="AC22" i="4"/>
  <c r="AK22" i="4"/>
  <c r="AS22" i="4"/>
  <c r="BI22" i="4"/>
  <c r="AU25" i="4"/>
  <c r="AC28" i="4"/>
  <c r="BI28" i="4"/>
  <c r="W35" i="4"/>
  <c r="BP35" i="4"/>
  <c r="AC36" i="4"/>
  <c r="AK36" i="4"/>
  <c r="AS36" i="4"/>
  <c r="BI36" i="4"/>
  <c r="BB39" i="4"/>
  <c r="BP39" i="4"/>
  <c r="BW39" i="4"/>
  <c r="AS39" i="4"/>
  <c r="BI45" i="4"/>
  <c r="AS45" i="4"/>
  <c r="AK45" i="4"/>
  <c r="AC45" i="4"/>
  <c r="BW45" i="4"/>
  <c r="AJ45" i="4"/>
  <c r="BV45" i="4"/>
  <c r="AR45" i="4"/>
  <c r="BB45" i="4"/>
  <c r="AB45" i="4"/>
  <c r="AV65" i="4"/>
  <c r="AU65" i="4"/>
  <c r="U83" i="4"/>
  <c r="Y83" i="4"/>
  <c r="W83" i="4"/>
  <c r="V83" i="4"/>
  <c r="BR59" i="4"/>
  <c r="BQ59" i="4"/>
  <c r="BW16" i="4"/>
  <c r="AB17" i="4"/>
  <c r="AR17" i="4"/>
  <c r="BP16" i="4"/>
  <c r="AC17" i="4"/>
  <c r="AK17" i="4"/>
  <c r="AS17" i="4"/>
  <c r="BI17" i="4"/>
  <c r="BB18" i="4"/>
  <c r="AB20" i="4"/>
  <c r="AJ20" i="4"/>
  <c r="AR20" i="4"/>
  <c r="BV22" i="4"/>
  <c r="BP25" i="4"/>
  <c r="AE26" i="4"/>
  <c r="BC27" i="4"/>
  <c r="BD27" i="4" s="1"/>
  <c r="U28" i="4"/>
  <c r="AT28" i="4"/>
  <c r="U36" i="4"/>
  <c r="BV36" i="4"/>
  <c r="BJ37" i="4"/>
  <c r="BK37" i="4" s="1"/>
  <c r="W39" i="4"/>
  <c r="V39" i="4"/>
  <c r="BA57" i="4"/>
  <c r="AD57" i="4"/>
  <c r="BI57" i="4"/>
  <c r="AZ57" i="4"/>
  <c r="BH57" i="4"/>
  <c r="BG57" i="4"/>
  <c r="AT57" i="4"/>
  <c r="BP57" i="4"/>
  <c r="AF62" i="4"/>
  <c r="AE62" i="4"/>
  <c r="BK70" i="4"/>
  <c r="BR45" i="4"/>
  <c r="BQ45" i="4"/>
  <c r="AJ17" i="4"/>
  <c r="AL17" i="4"/>
  <c r="BV17" i="4"/>
  <c r="AC20" i="4"/>
  <c r="AK20" i="4"/>
  <c r="AS20" i="4"/>
  <c r="BI20" i="4"/>
  <c r="BB21" i="4"/>
  <c r="V22" i="4"/>
  <c r="BW22" i="4"/>
  <c r="AB23" i="4"/>
  <c r="AJ23" i="4"/>
  <c r="V28" i="4"/>
  <c r="BB35" i="4"/>
  <c r="V36" i="4"/>
  <c r="BW36" i="4"/>
  <c r="AB37" i="4"/>
  <c r="AK37" i="4"/>
  <c r="BP37" i="4"/>
  <c r="U38" i="4"/>
  <c r="U39" i="4"/>
  <c r="AJ39" i="4"/>
  <c r="BC40" i="4"/>
  <c r="BD40" i="4" s="1"/>
  <c r="BB42" i="4"/>
  <c r="BP42" i="4"/>
  <c r="BW42" i="4"/>
  <c r="BV42" i="4"/>
  <c r="BI42" i="4"/>
  <c r="AS42" i="4"/>
  <c r="AK42" i="4"/>
  <c r="AC42" i="4"/>
  <c r="BJ65" i="4"/>
  <c r="BK65" i="4" s="1"/>
  <c r="AR22" i="4"/>
  <c r="BB16" i="4"/>
  <c r="AB18" i="4"/>
  <c r="AJ18" i="4"/>
  <c r="AR18" i="4"/>
  <c r="BP22" i="4"/>
  <c r="AL25" i="4"/>
  <c r="BB25" i="4"/>
  <c r="BP28" i="4"/>
  <c r="W36" i="4"/>
  <c r="BP36" i="4"/>
  <c r="AK39" i="4"/>
  <c r="BI39" i="4"/>
  <c r="BJ41" i="4"/>
  <c r="BK41" i="4" s="1"/>
  <c r="AB36" i="4"/>
  <c r="AJ36" i="4"/>
  <c r="AR36" i="4"/>
  <c r="BP17" i="4"/>
  <c r="AC18" i="4"/>
  <c r="AK18" i="4"/>
  <c r="AS18" i="4"/>
  <c r="AB21" i="4"/>
  <c r="AJ21" i="4"/>
  <c r="U23" i="4"/>
  <c r="BJ23" i="4"/>
  <c r="BK23" i="4" s="1"/>
  <c r="AB35" i="4"/>
  <c r="AJ35" i="4"/>
  <c r="AV58" i="4"/>
  <c r="Y84" i="4"/>
  <c r="W84" i="4"/>
  <c r="V84" i="4"/>
  <c r="U84" i="4"/>
  <c r="AB28" i="4"/>
  <c r="AB16" i="4"/>
  <c r="AJ16" i="4"/>
  <c r="AL28" i="4"/>
  <c r="BB37" i="4"/>
  <c r="AB39" i="4"/>
  <c r="BC47" i="4"/>
  <c r="BD47" i="4" s="1"/>
  <c r="BQ64" i="4"/>
  <c r="BR64" i="4"/>
  <c r="BP41" i="4"/>
  <c r="BB43" i="4"/>
  <c r="AJ44" i="4"/>
  <c r="AS44" i="4"/>
  <c r="BW44" i="4"/>
  <c r="W47" i="4"/>
  <c r="AL47" i="4"/>
  <c r="AT50" i="4"/>
  <c r="BB50" i="4"/>
  <c r="BG58" i="4"/>
  <c r="BG62" i="4"/>
  <c r="W65" i="4"/>
  <c r="V65" i="4"/>
  <c r="AF69" i="4"/>
  <c r="AE69" i="4"/>
  <c r="W71" i="4"/>
  <c r="V71" i="4"/>
  <c r="U71" i="4"/>
  <c r="BY76" i="4"/>
  <c r="BZ76" i="4" s="1"/>
  <c r="BR90" i="4"/>
  <c r="BQ90" i="4"/>
  <c r="Y92" i="4"/>
  <c r="W92" i="4"/>
  <c r="V92" i="4"/>
  <c r="AH92" i="4"/>
  <c r="AL92" i="4" s="1"/>
  <c r="U92" i="4"/>
  <c r="BB38" i="4"/>
  <c r="AB40" i="4"/>
  <c r="AJ40" i="4"/>
  <c r="AR40" i="4"/>
  <c r="AB44" i="4"/>
  <c r="AK44" i="4"/>
  <c r="V50" i="4"/>
  <c r="U50" i="4"/>
  <c r="BA59" i="4"/>
  <c r="BI59" i="4"/>
  <c r="AZ59" i="4"/>
  <c r="AL59" i="4"/>
  <c r="BB61" i="4"/>
  <c r="BA61" i="4"/>
  <c r="AL61" i="4"/>
  <c r="BI64" i="4"/>
  <c r="AZ64" i="4"/>
  <c r="BH64" i="4"/>
  <c r="AL64" i="4"/>
  <c r="BA64" i="4"/>
  <c r="BY68" i="4"/>
  <c r="BZ68" i="4" s="1"/>
  <c r="BI76" i="4"/>
  <c r="AD72" i="4"/>
  <c r="BP72" i="4"/>
  <c r="AR72" i="4"/>
  <c r="AJ72" i="4"/>
  <c r="BR73" i="4"/>
  <c r="BQ73" i="4"/>
  <c r="AC40" i="4"/>
  <c r="AK40" i="4"/>
  <c r="AS40" i="4"/>
  <c r="BI40" i="4"/>
  <c r="BB41" i="4"/>
  <c r="V42" i="4"/>
  <c r="AB43" i="4"/>
  <c r="AJ43" i="4"/>
  <c r="AR43" i="4"/>
  <c r="BI43" i="4"/>
  <c r="BV43" i="4"/>
  <c r="BP44" i="4"/>
  <c r="AC44" i="4"/>
  <c r="BI47" i="4"/>
  <c r="W50" i="4"/>
  <c r="W66" i="4"/>
  <c r="V66" i="4"/>
  <c r="BJ66" i="4"/>
  <c r="BK66" i="4" s="1"/>
  <c r="AF71" i="4"/>
  <c r="AE71" i="4"/>
  <c r="V72" i="4"/>
  <c r="W72" i="4"/>
  <c r="U72" i="4"/>
  <c r="Y82" i="4"/>
  <c r="V82" i="4"/>
  <c r="U82" i="4"/>
  <c r="W82" i="4"/>
  <c r="AB38" i="4"/>
  <c r="AJ38" i="4"/>
  <c r="AC43" i="4"/>
  <c r="AK43" i="4"/>
  <c r="AS43" i="4"/>
  <c r="AB47" i="4"/>
  <c r="AU48" i="4"/>
  <c r="U49" i="4"/>
  <c r="Y50" i="4"/>
  <c r="BJ50" i="4"/>
  <c r="BK50" i="4" s="1"/>
  <c r="BP58" i="4"/>
  <c r="AT59" i="4"/>
  <c r="AT61" i="4"/>
  <c r="AF65" i="4"/>
  <c r="AE65" i="4"/>
  <c r="AV67" i="4"/>
  <c r="AU67" i="4"/>
  <c r="AS72" i="4"/>
  <c r="AB41" i="4"/>
  <c r="AJ41" i="4"/>
  <c r="AR41" i="4"/>
  <c r="AC47" i="4"/>
  <c r="AT47" i="4"/>
  <c r="BC49" i="4"/>
  <c r="BD49" i="4" s="1"/>
  <c r="BG61" i="4"/>
  <c r="BY77" i="4"/>
  <c r="BZ77" i="4" s="1"/>
  <c r="AT64" i="4"/>
  <c r="W67" i="4"/>
  <c r="V67" i="4"/>
  <c r="AC41" i="4"/>
  <c r="AK41" i="4"/>
  <c r="AS41" i="4"/>
  <c r="BC44" i="4"/>
  <c r="BD44" i="4" s="1"/>
  <c r="W49" i="4"/>
  <c r="BH59" i="4"/>
  <c r="BA60" i="4"/>
  <c r="BI60" i="4"/>
  <c r="AZ60" i="4"/>
  <c r="AL60" i="4"/>
  <c r="BH61" i="4"/>
  <c r="BB62" i="4"/>
  <c r="BA62" i="4"/>
  <c r="AL62" i="4"/>
  <c r="BG64" i="4"/>
  <c r="AN65" i="4"/>
  <c r="AM65" i="4"/>
  <c r="AF66" i="4"/>
  <c r="AE66" i="4"/>
  <c r="U67" i="4"/>
  <c r="Y73" i="4"/>
  <c r="W73" i="4"/>
  <c r="V73" i="4"/>
  <c r="U73" i="4"/>
  <c r="BA58" i="4"/>
  <c r="BI58" i="4"/>
  <c r="AZ58" i="4"/>
  <c r="AD59" i="4"/>
  <c r="AD61" i="4"/>
  <c r="AD64" i="4"/>
  <c r="Y67" i="4"/>
  <c r="W69" i="4"/>
  <c r="V69" i="4"/>
  <c r="U69" i="4"/>
  <c r="AR84" i="4"/>
  <c r="AC84" i="4"/>
  <c r="BP84" i="4"/>
  <c r="AB84" i="4"/>
  <c r="AK84" i="4"/>
  <c r="AJ84" i="4"/>
  <c r="AV75" i="4"/>
  <c r="AU75" i="4"/>
  <c r="BR85" i="4"/>
  <c r="BQ85" i="4"/>
  <c r="AF93" i="4"/>
  <c r="AE93" i="4"/>
  <c r="AD95" i="4"/>
  <c r="AK95" i="4"/>
  <c r="AJ95" i="4"/>
  <c r="BP95" i="4"/>
  <c r="AT95" i="4"/>
  <c r="AD73" i="4"/>
  <c r="AS73" i="4"/>
  <c r="AK73" i="4"/>
  <c r="AR73" i="4"/>
  <c r="BP82" i="4"/>
  <c r="AS82" i="4"/>
  <c r="AL71" i="4"/>
  <c r="BB71" i="4"/>
  <c r="BN71" i="4"/>
  <c r="AD75" i="4"/>
  <c r="AJ75" i="4"/>
  <c r="AL87" i="4"/>
  <c r="BP87" i="4"/>
  <c r="AT87" i="4"/>
  <c r="AC87" i="4"/>
  <c r="AF101" i="4"/>
  <c r="AE101" i="4"/>
  <c r="W58" i="4"/>
  <c r="AB70" i="4"/>
  <c r="W75" i="4"/>
  <c r="V75" i="4"/>
  <c r="BQ98" i="4"/>
  <c r="BR98" i="4"/>
  <c r="AZ65" i="4"/>
  <c r="AZ66" i="4"/>
  <c r="AZ67" i="4"/>
  <c r="AC70" i="4"/>
  <c r="U75" i="4"/>
  <c r="V89" i="4"/>
  <c r="AR90" i="4"/>
  <c r="AT92" i="4"/>
  <c r="BP92" i="4"/>
  <c r="V97" i="4"/>
  <c r="V99" i="4"/>
  <c r="AM119" i="4"/>
  <c r="AN119" i="4"/>
  <c r="AB85" i="4"/>
  <c r="AJ85" i="4"/>
  <c r="AR85" i="4"/>
  <c r="W89" i="4"/>
  <c r="AS90" i="4"/>
  <c r="U95" i="4"/>
  <c r="AH95" i="4"/>
  <c r="AL95" i="4" s="1"/>
  <c r="W97" i="4"/>
  <c r="W99" i="4"/>
  <c r="AC85" i="4"/>
  <c r="AK85" i="4"/>
  <c r="AS85" i="4"/>
  <c r="AL86" i="4"/>
  <c r="V87" i="4"/>
  <c r="AB88" i="4"/>
  <c r="AJ88" i="4"/>
  <c r="U90" i="4"/>
  <c r="AL90" i="4"/>
  <c r="AE91" i="4"/>
  <c r="AJ92" i="4"/>
  <c r="V95" i="4"/>
  <c r="AK97" i="4"/>
  <c r="BP97" i="4"/>
  <c r="AS98" i="4"/>
  <c r="AK98" i="4"/>
  <c r="AR98" i="4"/>
  <c r="AJ98" i="4"/>
  <c r="AE102" i="4"/>
  <c r="BQ102" i="4"/>
  <c r="AS285" i="4"/>
  <c r="CR294" i="4" s="1"/>
  <c r="AB83" i="4"/>
  <c r="AJ83" i="4"/>
  <c r="W87" i="4"/>
  <c r="V90" i="4"/>
  <c r="AR91" i="4"/>
  <c r="AK92" i="4"/>
  <c r="AT93" i="4"/>
  <c r="BP93" i="4"/>
  <c r="W95" i="4"/>
  <c r="Y98" i="4"/>
  <c r="W98" i="4"/>
  <c r="AH99" i="4"/>
  <c r="AL99" i="4" s="1"/>
  <c r="BR100" i="4"/>
  <c r="BQ100" i="4"/>
  <c r="Y103" i="4"/>
  <c r="W103" i="4"/>
  <c r="V103" i="4"/>
  <c r="AB86" i="4"/>
  <c r="W90" i="4"/>
  <c r="AD92" i="4"/>
  <c r="U96" i="4"/>
  <c r="AE97" i="4"/>
  <c r="U98" i="4"/>
  <c r="AL98" i="4"/>
  <c r="U103" i="4"/>
  <c r="AB89" i="4"/>
  <c r="AJ89" i="4"/>
  <c r="V98" i="4"/>
  <c r="BR99" i="4"/>
  <c r="BQ99" i="4"/>
  <c r="BR101" i="4"/>
  <c r="BQ101" i="4"/>
  <c r="AK99" i="4"/>
  <c r="AS99" i="4"/>
  <c r="AD100" i="4"/>
  <c r="AD104" i="4"/>
  <c r="BP104" i="4"/>
  <c r="AS105" i="4"/>
  <c r="AD106" i="4"/>
  <c r="V107" i="4"/>
  <c r="AM107" i="4"/>
  <c r="AO107" i="4" s="1"/>
  <c r="BQ107" i="4"/>
  <c r="AF108" i="4"/>
  <c r="AR108" i="4"/>
  <c r="Y109" i="4"/>
  <c r="U110" i="4"/>
  <c r="AT110" i="4"/>
  <c r="BP110" i="4"/>
  <c r="AB119" i="4"/>
  <c r="BP119" i="4"/>
  <c r="BJ290" i="4"/>
  <c r="BJ291" i="4"/>
  <c r="BC290" i="4"/>
  <c r="EC335" i="4"/>
  <c r="EE335" i="4" s="1"/>
  <c r="EB335" i="4"/>
  <c r="ED335" i="4" s="1"/>
  <c r="EC337" i="4"/>
  <c r="EE337" i="4" s="1"/>
  <c r="EB337" i="4"/>
  <c r="ED337" i="4" s="1"/>
  <c r="EC339" i="4"/>
  <c r="EE339" i="4" s="1"/>
  <c r="EB339" i="4"/>
  <c r="ED339" i="4" s="1"/>
  <c r="EC346" i="4"/>
  <c r="EE346" i="4" s="1"/>
  <c r="EB346" i="4"/>
  <c r="ED346" i="4" s="1"/>
  <c r="EB348" i="4"/>
  <c r="ED348" i="4" s="1"/>
  <c r="EC348" i="4"/>
  <c r="EE348" i="4" s="1"/>
  <c r="EB353" i="4"/>
  <c r="ED353" i="4" s="1"/>
  <c r="EC353" i="4"/>
  <c r="EE353" i="4" s="1"/>
  <c r="AD99" i="4"/>
  <c r="AJ103" i="4"/>
  <c r="AR103" i="4"/>
  <c r="BV103" i="4"/>
  <c r="AL105" i="4"/>
  <c r="BP105" i="4"/>
  <c r="W107" i="4"/>
  <c r="V110" i="4"/>
  <c r="AC119" i="4"/>
  <c r="F10" i="7"/>
  <c r="F9" i="7"/>
  <c r="BK291" i="4"/>
  <c r="BK290" i="4"/>
  <c r="BN281" i="4"/>
  <c r="AK103" i="4"/>
  <c r="AS103" i="4"/>
  <c r="BW103" i="4"/>
  <c r="AR106" i="4"/>
  <c r="Y107" i="4"/>
  <c r="W110" i="4"/>
  <c r="AM112" i="4"/>
  <c r="AO112" i="4" s="1"/>
  <c r="BJ113" i="4"/>
  <c r="BK113" i="4" s="1"/>
  <c r="U119" i="4"/>
  <c r="AT119" i="4"/>
  <c r="BC120" i="4"/>
  <c r="BD120" i="4" s="1"/>
  <c r="BL291" i="4"/>
  <c r="BL290" i="4"/>
  <c r="CF283" i="4"/>
  <c r="BO281" i="4"/>
  <c r="BO287" i="4"/>
  <c r="EC341" i="4"/>
  <c r="EE341" i="4" s="1"/>
  <c r="EB341" i="4"/>
  <c r="ED341" i="4" s="1"/>
  <c r="EB349" i="4"/>
  <c r="ED349" i="4" s="1"/>
  <c r="EC349" i="4"/>
  <c r="EE349" i="4" s="1"/>
  <c r="EB354" i="4"/>
  <c r="ED354" i="4" s="1"/>
  <c r="EC354" i="4"/>
  <c r="EE354" i="4" s="1"/>
  <c r="U101" i="4"/>
  <c r="AD103" i="4"/>
  <c r="BP103" i="4"/>
  <c r="AD107" i="4"/>
  <c r="AM108" i="4"/>
  <c r="AO108" i="4" s="1"/>
  <c r="U111" i="4"/>
  <c r="AT111" i="4"/>
  <c r="BP111" i="4"/>
  <c r="AB112" i="4"/>
  <c r="V119" i="4"/>
  <c r="AS280" i="4"/>
  <c r="CR295" i="4" s="1"/>
  <c r="CR296" i="4" s="1"/>
  <c r="CR297" i="4" s="1"/>
  <c r="CR298" i="4" s="1"/>
  <c r="BM291" i="4"/>
  <c r="BM290" i="4"/>
  <c r="BP281" i="4"/>
  <c r="CF281" i="4"/>
  <c r="EB356" i="4"/>
  <c r="ED356" i="4" s="1"/>
  <c r="EC356" i="4"/>
  <c r="EE356" i="4" s="1"/>
  <c r="AL110" i="4"/>
  <c r="W119" i="4"/>
  <c r="G10" i="7"/>
  <c r="G9" i="7"/>
  <c r="BB291" i="4"/>
  <c r="BB290" i="4"/>
  <c r="BN280" i="4"/>
  <c r="BN284" i="4"/>
  <c r="BO284" i="4"/>
  <c r="BP287" i="4"/>
  <c r="BN288" i="4"/>
  <c r="EC334" i="4"/>
  <c r="EE334" i="4" s="1"/>
  <c r="EB334" i="4"/>
  <c r="ED334" i="4" s="1"/>
  <c r="EC336" i="4"/>
  <c r="EE336" i="4" s="1"/>
  <c r="EB336" i="4"/>
  <c r="ED336" i="4" s="1"/>
  <c r="EC338" i="4"/>
  <c r="EE338" i="4" s="1"/>
  <c r="EB338" i="4"/>
  <c r="ED338" i="4" s="1"/>
  <c r="EC345" i="4"/>
  <c r="EE345" i="4" s="1"/>
  <c r="EB345" i="4"/>
  <c r="ED345" i="4" s="1"/>
  <c r="AD105" i="4"/>
  <c r="BC291" i="4"/>
  <c r="BO280" i="4"/>
  <c r="EC343" i="4"/>
  <c r="EE343" i="4" s="1"/>
  <c r="EB343" i="4"/>
  <c r="ED343" i="4" s="1"/>
  <c r="EB352" i="4"/>
  <c r="ED352" i="4" s="1"/>
  <c r="EC352" i="4"/>
  <c r="EE352" i="4" s="1"/>
  <c r="EC357" i="4"/>
  <c r="EE357" i="4" s="1"/>
  <c r="EB357" i="4"/>
  <c r="ED357" i="4" s="1"/>
  <c r="AB110" i="4"/>
  <c r="BK120" i="4"/>
  <c r="BD290" i="4"/>
  <c r="BD291" i="4"/>
  <c r="BP280" i="4"/>
  <c r="CF280" i="4"/>
  <c r="BN282" i="4"/>
  <c r="BC113" i="4"/>
  <c r="BD113" i="4" s="1"/>
  <c r="BI290" i="4"/>
  <c r="BI291" i="4"/>
  <c r="BO282" i="4"/>
  <c r="CF282" i="4"/>
  <c r="BO286" i="4"/>
  <c r="EC344" i="4"/>
  <c r="EE344" i="4" s="1"/>
  <c r="EB344" i="4"/>
  <c r="ED344" i="4" s="1"/>
  <c r="EB355" i="4"/>
  <c r="ED355" i="4" s="1"/>
  <c r="EC355" i="4"/>
  <c r="EE355" i="4" s="1"/>
  <c r="CF291" i="4"/>
  <c r="BN341" i="4"/>
  <c r="BM344" i="4"/>
  <c r="BM352" i="4"/>
  <c r="K6" i="6"/>
  <c r="J6" i="6"/>
  <c r="L6" i="6" s="1"/>
  <c r="K14" i="6"/>
  <c r="M14" i="6" s="1"/>
  <c r="J14" i="6"/>
  <c r="L14" i="6" s="1"/>
  <c r="K22" i="6"/>
  <c r="M22" i="6" s="1"/>
  <c r="J22" i="6"/>
  <c r="L22" i="6" s="1"/>
  <c r="K30" i="6"/>
  <c r="M30" i="6" s="1"/>
  <c r="J30" i="6"/>
  <c r="L30" i="6" s="1"/>
  <c r="BN285" i="4"/>
  <c r="BP288" i="4"/>
  <c r="BN289" i="4"/>
  <c r="BO341" i="4"/>
  <c r="BM343" i="4"/>
  <c r="BN344" i="4"/>
  <c r="EB347" i="4"/>
  <c r="ED347" i="4" s="1"/>
  <c r="BM349" i="4"/>
  <c r="EC350" i="4"/>
  <c r="EE350" i="4" s="1"/>
  <c r="BN352" i="4"/>
  <c r="BM357" i="4"/>
  <c r="BQ364" i="4"/>
  <c r="BP364" i="4"/>
  <c r="BN364" i="4"/>
  <c r="AL367" i="4"/>
  <c r="K9" i="6"/>
  <c r="M9" i="6" s="1"/>
  <c r="J9" i="6"/>
  <c r="L9" i="6" s="1"/>
  <c r="K17" i="6"/>
  <c r="M17" i="6" s="1"/>
  <c r="J17" i="6"/>
  <c r="K25" i="6"/>
  <c r="M25" i="6" s="1"/>
  <c r="J25" i="6"/>
  <c r="K33" i="6"/>
  <c r="M33" i="6" s="1"/>
  <c r="J33" i="6"/>
  <c r="CF289" i="4"/>
  <c r="BP334" i="4"/>
  <c r="BP335" i="4"/>
  <c r="BP336" i="4"/>
  <c r="BP337" i="4"/>
  <c r="BP338" i="4"/>
  <c r="BP339" i="4"/>
  <c r="BP341" i="4"/>
  <c r="BN342" i="4"/>
  <c r="BN343" i="4"/>
  <c r="BP344" i="4"/>
  <c r="BN349" i="4"/>
  <c r="BP352" i="4"/>
  <c r="BM354" i="4"/>
  <c r="BT355" i="4"/>
  <c r="CF355" i="4" s="1"/>
  <c r="BN357" i="4"/>
  <c r="AL358" i="4"/>
  <c r="CK358" i="4" s="1"/>
  <c r="AL360" i="4"/>
  <c r="CK360" i="4" s="1"/>
  <c r="AL363" i="4"/>
  <c r="CK363" i="4" s="1"/>
  <c r="BT363" i="4"/>
  <c r="CF363" i="4" s="1"/>
  <c r="BM364" i="4"/>
  <c r="BO369" i="4"/>
  <c r="BO360" i="4" s="1"/>
  <c r="AZ360" i="4"/>
  <c r="BT371" i="4"/>
  <c r="BT372" i="4"/>
  <c r="K12" i="6"/>
  <c r="M12" i="6" s="1"/>
  <c r="J12" i="6"/>
  <c r="L12" i="6" s="1"/>
  <c r="K20" i="6"/>
  <c r="M20" i="6" s="1"/>
  <c r="J20" i="6"/>
  <c r="L20" i="6" s="1"/>
  <c r="K28" i="6"/>
  <c r="M28" i="6" s="1"/>
  <c r="J28" i="6"/>
  <c r="L28" i="6" s="1"/>
  <c r="BN286" i="4"/>
  <c r="BP289" i="4"/>
  <c r="CF292" i="4"/>
  <c r="DX329" i="4"/>
  <c r="BQ334" i="4"/>
  <c r="BQ335" i="4"/>
  <c r="BQ336" i="4"/>
  <c r="BQ337" i="4"/>
  <c r="BQ338" i="4"/>
  <c r="BQ339" i="4"/>
  <c r="BQ341" i="4"/>
  <c r="BP343" i="4"/>
  <c r="BP349" i="4"/>
  <c r="BM351" i="4"/>
  <c r="BT352" i="4"/>
  <c r="CF352" i="4" s="1"/>
  <c r="BN354" i="4"/>
  <c r="BP357" i="4"/>
  <c r="BQ361" i="4"/>
  <c r="BP361" i="4"/>
  <c r="BN361" i="4"/>
  <c r="BQ365" i="4"/>
  <c r="BP365" i="4"/>
  <c r="BN365" i="4"/>
  <c r="BT368" i="4"/>
  <c r="AU359" i="4"/>
  <c r="K7" i="6"/>
  <c r="M7" i="6" s="1"/>
  <c r="J7" i="6"/>
  <c r="L7" i="6" s="1"/>
  <c r="K15" i="6"/>
  <c r="M15" i="6" s="1"/>
  <c r="J15" i="6"/>
  <c r="L15" i="6" s="1"/>
  <c r="K23" i="6"/>
  <c r="M23" i="6" s="1"/>
  <c r="J23" i="6"/>
  <c r="L23" i="6" s="1"/>
  <c r="K31" i="6"/>
  <c r="M31" i="6" s="1"/>
  <c r="J31" i="6"/>
  <c r="L31" i="6" s="1"/>
  <c r="BN340" i="4"/>
  <c r="BQ342" i="4"/>
  <c r="BO346" i="4"/>
  <c r="BM348" i="4"/>
  <c r="BT349" i="4"/>
  <c r="CF349" i="4" s="1"/>
  <c r="BO350" i="4"/>
  <c r="BP354" i="4"/>
  <c r="BT357" i="4"/>
  <c r="CF357" i="4" s="1"/>
  <c r="AL364" i="4"/>
  <c r="CK364" i="4" s="1"/>
  <c r="BT364" i="4"/>
  <c r="CF364" i="4" s="1"/>
  <c r="BM365" i="4"/>
  <c r="K10" i="6"/>
  <c r="M10" i="6" s="1"/>
  <c r="J10" i="6"/>
  <c r="L10" i="6" s="1"/>
  <c r="K18" i="6"/>
  <c r="M18" i="6" s="1"/>
  <c r="J18" i="6"/>
  <c r="L18" i="6" s="1"/>
  <c r="K26" i="6"/>
  <c r="M26" i="6" s="1"/>
  <c r="J26" i="6"/>
  <c r="L26" i="6" s="1"/>
  <c r="K34" i="6"/>
  <c r="M34" i="6" s="1"/>
  <c r="J34" i="6"/>
  <c r="L34" i="6" s="1"/>
  <c r="BN287" i="4"/>
  <c r="BM347" i="4"/>
  <c r="BM353" i="4"/>
  <c r="BT354" i="4"/>
  <c r="CF354" i="4" s="1"/>
  <c r="BQ362" i="4"/>
  <c r="BP362" i="4"/>
  <c r="BN362" i="4"/>
  <c r="BQ366" i="4"/>
  <c r="BP366" i="4"/>
  <c r="BN366" i="4"/>
  <c r="K13" i="6"/>
  <c r="M13" i="6" s="1"/>
  <c r="J13" i="6"/>
  <c r="L13" i="6" s="1"/>
  <c r="K21" i="6"/>
  <c r="M21" i="6" s="1"/>
  <c r="J21" i="6"/>
  <c r="L21" i="6" s="1"/>
  <c r="K29" i="6"/>
  <c r="M29" i="6" s="1"/>
  <c r="J29" i="6"/>
  <c r="L29" i="6" s="1"/>
  <c r="EB342" i="4"/>
  <c r="ED342" i="4" s="1"/>
  <c r="BM346" i="4"/>
  <c r="BN347" i="4"/>
  <c r="BM350" i="4"/>
  <c r="BT351" i="4"/>
  <c r="CF351" i="4" s="1"/>
  <c r="EC351" i="4"/>
  <c r="EE351" i="4" s="1"/>
  <c r="BN353" i="4"/>
  <c r="BT361" i="4"/>
  <c r="CF361" i="4" s="1"/>
  <c r="BM362" i="4"/>
  <c r="BT365" i="4"/>
  <c r="CF365" i="4" s="1"/>
  <c r="BM366" i="4"/>
  <c r="BQ367" i="4"/>
  <c r="BQ358" i="4" s="1"/>
  <c r="BA358" i="4"/>
  <c r="BT358" i="4" s="1"/>
  <c r="CF358" i="4" s="1"/>
  <c r="BP367" i="4"/>
  <c r="BP358" i="4" s="1"/>
  <c r="BN367" i="4"/>
  <c r="BN358" i="4" s="1"/>
  <c r="AL369" i="4"/>
  <c r="BQ371" i="4"/>
  <c r="BP371" i="4"/>
  <c r="BM371" i="4"/>
  <c r="K8" i="6"/>
  <c r="M8" i="6" s="1"/>
  <c r="J8" i="6"/>
  <c r="L8" i="6" s="1"/>
  <c r="K16" i="6"/>
  <c r="M16" i="6" s="1"/>
  <c r="J16" i="6"/>
  <c r="L16" i="6" s="1"/>
  <c r="K24" i="6"/>
  <c r="M24" i="6" s="1"/>
  <c r="J24" i="6"/>
  <c r="L24" i="6" s="1"/>
  <c r="K32" i="6"/>
  <c r="M32" i="6" s="1"/>
  <c r="J32" i="6"/>
  <c r="L32" i="6" s="1"/>
  <c r="AL342" i="4"/>
  <c r="CK342" i="4" s="1"/>
  <c r="BO343" i="4"/>
  <c r="BT348" i="4"/>
  <c r="CF348" i="4" s="1"/>
  <c r="BO349" i="4"/>
  <c r="BT356" i="4"/>
  <c r="CF356" i="4" s="1"/>
  <c r="BO357" i="4"/>
  <c r="BQ363" i="4"/>
  <c r="BP363" i="4"/>
  <c r="BN363" i="4"/>
  <c r="BO366" i="4"/>
  <c r="BM367" i="4"/>
  <c r="BM358" i="4" s="1"/>
  <c r="AV360" i="4"/>
  <c r="BT369" i="4"/>
  <c r="BN371" i="4"/>
  <c r="BQ372" i="4"/>
  <c r="BP372" i="4"/>
  <c r="BN372" i="4"/>
  <c r="M6" i="6"/>
  <c r="K11" i="6"/>
  <c r="M11" i="6" s="1"/>
  <c r="J11" i="6"/>
  <c r="L11" i="6" s="1"/>
  <c r="L17" i="6"/>
  <c r="K19" i="6"/>
  <c r="M19" i="6" s="1"/>
  <c r="J19" i="6"/>
  <c r="L19" i="6" s="1"/>
  <c r="L25" i="6"/>
  <c r="K27" i="6"/>
  <c r="M27" i="6" s="1"/>
  <c r="J27" i="6"/>
  <c r="L27" i="6" s="1"/>
  <c r="L33" i="6"/>
  <c r="K35" i="6"/>
  <c r="M35" i="6" s="1"/>
  <c r="J35" i="6"/>
  <c r="L35" i="6" s="1"/>
  <c r="BB360" i="4"/>
  <c r="BM369" i="4"/>
  <c r="BM360" i="4" s="1"/>
  <c r="BM370" i="4"/>
  <c r="EB366" i="4"/>
  <c r="ED366" i="4" s="1"/>
  <c r="AF89" i="4" l="1"/>
  <c r="BS102" i="4"/>
  <c r="AN93" i="4"/>
  <c r="AE49" i="4"/>
  <c r="AG49" i="4" s="1"/>
  <c r="BR89" i="4"/>
  <c r="BS89" i="4" s="1"/>
  <c r="AN66" i="4"/>
  <c r="AE111" i="4"/>
  <c r="AU70" i="4"/>
  <c r="AW70" i="4" s="1"/>
  <c r="BR38" i="4"/>
  <c r="BS38" i="4" s="1"/>
  <c r="AU20" i="4"/>
  <c r="AW20" i="4" s="1"/>
  <c r="AM109" i="4"/>
  <c r="AO109" i="4" s="1"/>
  <c r="AN106" i="4"/>
  <c r="Y39" i="4"/>
  <c r="AF39" i="4" s="1"/>
  <c r="BR26" i="4"/>
  <c r="BS26" i="4" s="1"/>
  <c r="BB76" i="4"/>
  <c r="BC76" i="4" s="1"/>
  <c r="BD76" i="4" s="1"/>
  <c r="AN70" i="4"/>
  <c r="AO70" i="4" s="1"/>
  <c r="BQ108" i="4"/>
  <c r="BS108" i="4" s="1"/>
  <c r="BQ83" i="4"/>
  <c r="BS83" i="4" s="1"/>
  <c r="AE67" i="4"/>
  <c r="AG67" i="4" s="1"/>
  <c r="BQ69" i="4"/>
  <c r="BS69" i="4" s="1"/>
  <c r="AE96" i="4"/>
  <c r="AG96" i="4" s="1"/>
  <c r="AM49" i="4"/>
  <c r="AM67" i="4"/>
  <c r="AO67" i="4" s="1"/>
  <c r="AE74" i="4"/>
  <c r="AG74" i="4" s="1"/>
  <c r="AU62" i="4"/>
  <c r="AW62" i="4" s="1"/>
  <c r="BR48" i="4"/>
  <c r="BS48" i="4" s="1"/>
  <c r="AU66" i="4"/>
  <c r="AW66" i="4" s="1"/>
  <c r="AU71" i="4"/>
  <c r="AW71" i="4" s="1"/>
  <c r="AM21" i="4"/>
  <c r="AO21" i="4" s="1"/>
  <c r="AE25" i="4"/>
  <c r="AG25" i="4" s="1"/>
  <c r="AO91" i="4"/>
  <c r="BQ50" i="4"/>
  <c r="BS50" i="4" s="1"/>
  <c r="AU60" i="4"/>
  <c r="BR23" i="4"/>
  <c r="BS23" i="4" s="1"/>
  <c r="AV74" i="4"/>
  <c r="AW74" i="4" s="1"/>
  <c r="AM27" i="4"/>
  <c r="AO27" i="4" s="1"/>
  <c r="AU69" i="4"/>
  <c r="AW69" i="4" s="1"/>
  <c r="AF16" i="4"/>
  <c r="AG16" i="4" s="1"/>
  <c r="BU283" i="4"/>
  <c r="BQ283" i="4"/>
  <c r="BV283" i="4" s="1"/>
  <c r="BS107" i="4"/>
  <c r="AM88" i="4"/>
  <c r="AO88" i="4" s="1"/>
  <c r="AF20" i="4"/>
  <c r="AG20" i="4" s="1"/>
  <c r="AE112" i="4"/>
  <c r="AG112" i="4" s="1"/>
  <c r="AN101" i="4"/>
  <c r="AO101" i="4" s="1"/>
  <c r="AM97" i="4"/>
  <c r="AO97" i="4" s="1"/>
  <c r="BS65" i="4"/>
  <c r="AN50" i="4"/>
  <c r="AO50" i="4" s="1"/>
  <c r="AU26" i="4"/>
  <c r="AW26" i="4" s="1"/>
  <c r="AN16" i="4"/>
  <c r="AN94" i="4"/>
  <c r="AM94" i="4"/>
  <c r="AV18" i="4"/>
  <c r="AW18" i="4" s="1"/>
  <c r="AM96" i="4"/>
  <c r="AO96" i="4" s="1"/>
  <c r="AM20" i="4"/>
  <c r="AO20" i="4" s="1"/>
  <c r="AM23" i="4"/>
  <c r="AO23" i="4" s="1"/>
  <c r="AW48" i="4"/>
  <c r="BQ284" i="4"/>
  <c r="BV284" i="4" s="1"/>
  <c r="AU21" i="4"/>
  <c r="AW21" i="4" s="1"/>
  <c r="AG48" i="4"/>
  <c r="BS94" i="4"/>
  <c r="AM16" i="4"/>
  <c r="Y119" i="4"/>
  <c r="AF119" i="4" s="1"/>
  <c r="AF35" i="4"/>
  <c r="AG35" i="4" s="1"/>
  <c r="AV108" i="4"/>
  <c r="AW108" i="4" s="1"/>
  <c r="AF83" i="4"/>
  <c r="BT285" i="4"/>
  <c r="AF41" i="4"/>
  <c r="AG41" i="4" s="1"/>
  <c r="AM18" i="4"/>
  <c r="AO18" i="4" s="1"/>
  <c r="AM43" i="4"/>
  <c r="AO43" i="4" s="1"/>
  <c r="AV35" i="4"/>
  <c r="AW35" i="4" s="1"/>
  <c r="BK293" i="4"/>
  <c r="BI46" i="4"/>
  <c r="BJ46" i="4" s="1"/>
  <c r="BR112" i="4"/>
  <c r="BQ112" i="4"/>
  <c r="AE88" i="4"/>
  <c r="AG88" i="4" s="1"/>
  <c r="BQ20" i="4"/>
  <c r="BS20" i="4" s="1"/>
  <c r="AV49" i="4"/>
  <c r="AU49" i="4"/>
  <c r="BQ49" i="4"/>
  <c r="BS49" i="4" s="1"/>
  <c r="AN26" i="4"/>
  <c r="AM26" i="4"/>
  <c r="AV27" i="4"/>
  <c r="AU27" i="4"/>
  <c r="BQ88" i="4"/>
  <c r="BR88" i="4"/>
  <c r="AU112" i="4"/>
  <c r="AV112" i="4"/>
  <c r="BQ74" i="4"/>
  <c r="BR74" i="4"/>
  <c r="AF109" i="4"/>
  <c r="AE109" i="4"/>
  <c r="AG109" i="4" s="1"/>
  <c r="BQ70" i="4"/>
  <c r="BR70" i="4"/>
  <c r="BQ66" i="4"/>
  <c r="BR66" i="4"/>
  <c r="BQ43" i="4"/>
  <c r="BR43" i="4"/>
  <c r="BR91" i="4"/>
  <c r="BQ91" i="4"/>
  <c r="BR86" i="4"/>
  <c r="BQ86" i="4"/>
  <c r="BQ106" i="4"/>
  <c r="BR106" i="4"/>
  <c r="AE58" i="4"/>
  <c r="AF58" i="4"/>
  <c r="AV96" i="4"/>
  <c r="AU96" i="4"/>
  <c r="AW96" i="4" s="1"/>
  <c r="AF90" i="4"/>
  <c r="AE90" i="4"/>
  <c r="AG90" i="4" s="1"/>
  <c r="BR62" i="4"/>
  <c r="BQ62" i="4"/>
  <c r="AF94" i="4"/>
  <c r="AE94" i="4"/>
  <c r="AG94" i="4" s="1"/>
  <c r="AE60" i="4"/>
  <c r="AF60" i="4"/>
  <c r="BQ67" i="4"/>
  <c r="BR67" i="4"/>
  <c r="AN48" i="4"/>
  <c r="AM48" i="4"/>
  <c r="BR60" i="4"/>
  <c r="BQ60" i="4"/>
  <c r="AF23" i="4"/>
  <c r="AG23" i="4" s="1"/>
  <c r="BR109" i="4"/>
  <c r="BQ109" i="4"/>
  <c r="BR40" i="4"/>
  <c r="BQ40" i="4"/>
  <c r="BR96" i="4"/>
  <c r="BQ96" i="4"/>
  <c r="AV86" i="4"/>
  <c r="AU86" i="4"/>
  <c r="AW86" i="4" s="1"/>
  <c r="AM38" i="4"/>
  <c r="AO38" i="4" s="1"/>
  <c r="AM35" i="4"/>
  <c r="AO35" i="4" s="1"/>
  <c r="AF27" i="4"/>
  <c r="AG27" i="4" s="1"/>
  <c r="AM39" i="4"/>
  <c r="AN37" i="4"/>
  <c r="AO37" i="4" s="1"/>
  <c r="AV83" i="4"/>
  <c r="AU41" i="4"/>
  <c r="AW41" i="4" s="1"/>
  <c r="BR71" i="4"/>
  <c r="AM69" i="4"/>
  <c r="AO69" i="4" s="1"/>
  <c r="AU89" i="4"/>
  <c r="AW89" i="4" s="1"/>
  <c r="AE38" i="4"/>
  <c r="AG38" i="4" s="1"/>
  <c r="AU91" i="4"/>
  <c r="AW91" i="4" s="1"/>
  <c r="BT359" i="4"/>
  <c r="CF359" i="4" s="1"/>
  <c r="AU101" i="4"/>
  <c r="AW101" i="4" s="1"/>
  <c r="AU43" i="4"/>
  <c r="AW43" i="4" s="1"/>
  <c r="AE21" i="4"/>
  <c r="AG21" i="4" s="1"/>
  <c r="BU286" i="4"/>
  <c r="AV88" i="4"/>
  <c r="AU98" i="4"/>
  <c r="AW98" i="4" s="1"/>
  <c r="BU284" i="4"/>
  <c r="BQ285" i="4"/>
  <c r="AM111" i="4"/>
  <c r="AO111" i="4" s="1"/>
  <c r="AM89" i="4"/>
  <c r="AO89" i="4" s="1"/>
  <c r="AM102" i="4"/>
  <c r="AO102" i="4" s="1"/>
  <c r="BQ286" i="4"/>
  <c r="BV286" i="4" s="1"/>
  <c r="BQ280" i="4"/>
  <c r="BW280" i="4" s="1"/>
  <c r="BX280" i="4" s="1"/>
  <c r="AF37" i="4"/>
  <c r="AG37" i="4" s="1"/>
  <c r="BQ288" i="4"/>
  <c r="AV16" i="4"/>
  <c r="AW16" i="4" s="1"/>
  <c r="AE18" i="4"/>
  <c r="AG18" i="4" s="1"/>
  <c r="BQ282" i="4"/>
  <c r="BT282" i="4"/>
  <c r="AE70" i="4"/>
  <c r="AG70" i="4" s="1"/>
  <c r="BI293" i="4"/>
  <c r="AU44" i="4"/>
  <c r="AW44" i="4" s="1"/>
  <c r="BQ289" i="4"/>
  <c r="BL293" i="4"/>
  <c r="AM84" i="4"/>
  <c r="AO84" i="4" s="1"/>
  <c r="AE39" i="4"/>
  <c r="AU38" i="4"/>
  <c r="AW38" i="4" s="1"/>
  <c r="AU107" i="4"/>
  <c r="AW107" i="4" s="1"/>
  <c r="AO66" i="4"/>
  <c r="AN74" i="4"/>
  <c r="AO74" i="4" s="1"/>
  <c r="AW60" i="4"/>
  <c r="BS18" i="4"/>
  <c r="BS101" i="4"/>
  <c r="BS27" i="4"/>
  <c r="BZ17" i="4"/>
  <c r="BS90" i="4"/>
  <c r="AW23" i="4"/>
  <c r="BS100" i="4"/>
  <c r="AO93" i="4"/>
  <c r="AF86" i="4"/>
  <c r="AE86" i="4"/>
  <c r="AG86" i="4" s="1"/>
  <c r="BZ104" i="4"/>
  <c r="BB293" i="4"/>
  <c r="AM45" i="4"/>
  <c r="AO45" i="4" s="1"/>
  <c r="AO58" i="4"/>
  <c r="AN41" i="4"/>
  <c r="AM41" i="4"/>
  <c r="AV102" i="4"/>
  <c r="AU102" i="4"/>
  <c r="AE43" i="4"/>
  <c r="BS45" i="4"/>
  <c r="AV109" i="4"/>
  <c r="AU109" i="4"/>
  <c r="AM83" i="4"/>
  <c r="AU106" i="4"/>
  <c r="AV106" i="4"/>
  <c r="BD293" i="4"/>
  <c r="BT360" i="4"/>
  <c r="CF360" i="4" s="1"/>
  <c r="BS98" i="4"/>
  <c r="AW75" i="4"/>
  <c r="BS61" i="4"/>
  <c r="AF104" i="4"/>
  <c r="AE104" i="4"/>
  <c r="AF92" i="4"/>
  <c r="AE92" i="4"/>
  <c r="AM75" i="4"/>
  <c r="AN75" i="4"/>
  <c r="AN60" i="4"/>
  <c r="AM60" i="4"/>
  <c r="AN110" i="4"/>
  <c r="AM110" i="4"/>
  <c r="AO110" i="4" s="1"/>
  <c r="AV110" i="4"/>
  <c r="AU110" i="4"/>
  <c r="AV100" i="4"/>
  <c r="AU100" i="4"/>
  <c r="AW100" i="4" s="1"/>
  <c r="AN90" i="4"/>
  <c r="AM90" i="4"/>
  <c r="AV92" i="4"/>
  <c r="AU92" i="4"/>
  <c r="AW92" i="4" s="1"/>
  <c r="AM95" i="4"/>
  <c r="AN95" i="4"/>
  <c r="AF40" i="4"/>
  <c r="AE40" i="4"/>
  <c r="BR44" i="4"/>
  <c r="BQ44" i="4"/>
  <c r="BC41" i="4"/>
  <c r="BD41" i="4" s="1"/>
  <c r="BR72" i="4"/>
  <c r="BQ72" i="4"/>
  <c r="AN61" i="4"/>
  <c r="AM61" i="4"/>
  <c r="BC50" i="4"/>
  <c r="BD50" i="4" s="1"/>
  <c r="BC43" i="4"/>
  <c r="BD43" i="4" s="1"/>
  <c r="AN28" i="4"/>
  <c r="AM28" i="4"/>
  <c r="BB29" i="4"/>
  <c r="BC25" i="4"/>
  <c r="BD25" i="4" s="1"/>
  <c r="BJ57" i="4"/>
  <c r="BK57" i="4" s="1"/>
  <c r="BI63" i="4"/>
  <c r="AG26" i="4"/>
  <c r="BC39" i="4"/>
  <c r="BD39" i="4" s="1"/>
  <c r="AV19" i="4"/>
  <c r="AU19" i="4"/>
  <c r="BR111" i="4"/>
  <c r="BQ111" i="4"/>
  <c r="BJ293" i="4"/>
  <c r="BR25" i="4"/>
  <c r="BQ25" i="4"/>
  <c r="AF45" i="4"/>
  <c r="AE45" i="4"/>
  <c r="BT288" i="4"/>
  <c r="BU288" i="4"/>
  <c r="BM293" i="4"/>
  <c r="AV111" i="4"/>
  <c r="AU111" i="4"/>
  <c r="AW111" i="4" s="1"/>
  <c r="AF103" i="4"/>
  <c r="AE103" i="4"/>
  <c r="BR105" i="4"/>
  <c r="BQ105" i="4"/>
  <c r="AF99" i="4"/>
  <c r="AE99" i="4"/>
  <c r="BC293" i="4"/>
  <c r="BR119" i="4"/>
  <c r="BQ119" i="4"/>
  <c r="AF106" i="4"/>
  <c r="AE106" i="4"/>
  <c r="AF100" i="4"/>
  <c r="AE100" i="4"/>
  <c r="BY103" i="4"/>
  <c r="BZ103" i="4" s="1"/>
  <c r="AV97" i="4"/>
  <c r="AU97" i="4"/>
  <c r="AW97" i="4" s="1"/>
  <c r="AM120" i="4"/>
  <c r="AO119" i="4"/>
  <c r="BR87" i="4"/>
  <c r="BQ87" i="4"/>
  <c r="AN71" i="4"/>
  <c r="AM71" i="4"/>
  <c r="AU82" i="4"/>
  <c r="AV82" i="4"/>
  <c r="AV73" i="4"/>
  <c r="AU73" i="4"/>
  <c r="AG93" i="4"/>
  <c r="AF59" i="4"/>
  <c r="AE59" i="4"/>
  <c r="AV59" i="4"/>
  <c r="AU59" i="4"/>
  <c r="AF44" i="4"/>
  <c r="AE44" i="4"/>
  <c r="AN72" i="4"/>
  <c r="AM72" i="4"/>
  <c r="BJ61" i="4"/>
  <c r="BK61" i="4" s="1"/>
  <c r="AV84" i="4"/>
  <c r="AU84" i="4"/>
  <c r="AW84" i="4" s="1"/>
  <c r="AU50" i="4"/>
  <c r="AV50" i="4"/>
  <c r="BR41" i="4"/>
  <c r="BQ41" i="4"/>
  <c r="BJ39" i="4"/>
  <c r="BK39" i="4" s="1"/>
  <c r="BY22" i="4"/>
  <c r="BZ22" i="4" s="1"/>
  <c r="BR42" i="4"/>
  <c r="BQ42" i="4"/>
  <c r="AU37" i="4"/>
  <c r="AV37" i="4"/>
  <c r="BR57" i="4"/>
  <c r="BQ57" i="4"/>
  <c r="AF28" i="4"/>
  <c r="AE28" i="4"/>
  <c r="BJ17" i="4"/>
  <c r="BK17" i="4" s="1"/>
  <c r="BC45" i="4"/>
  <c r="BD45" i="4" s="1"/>
  <c r="BJ28" i="4"/>
  <c r="BK28" i="4" s="1"/>
  <c r="BY21" i="4"/>
  <c r="BZ21" i="4" s="1"/>
  <c r="BR103" i="4"/>
  <c r="BQ103" i="4"/>
  <c r="AO57" i="4"/>
  <c r="BU281" i="4"/>
  <c r="BT281" i="4"/>
  <c r="AN103" i="4"/>
  <c r="AM103" i="4"/>
  <c r="AO103" i="4" s="1"/>
  <c r="AF110" i="4"/>
  <c r="AE110" i="4"/>
  <c r="AM82" i="4"/>
  <c r="AN82" i="4"/>
  <c r="AN62" i="4"/>
  <c r="AM62" i="4"/>
  <c r="BY44" i="4"/>
  <c r="BZ44" i="4" s="1"/>
  <c r="AG89" i="4"/>
  <c r="AE50" i="4"/>
  <c r="AF50" i="4"/>
  <c r="AN25" i="4"/>
  <c r="AM25" i="4"/>
  <c r="BR37" i="4"/>
  <c r="BQ37" i="4"/>
  <c r="AF57" i="4"/>
  <c r="AE57" i="4"/>
  <c r="AV28" i="4"/>
  <c r="AU28" i="4"/>
  <c r="BC18" i="4"/>
  <c r="BD18" i="4" s="1"/>
  <c r="AF105" i="4"/>
  <c r="AE105" i="4"/>
  <c r="AV119" i="4"/>
  <c r="AU119" i="4"/>
  <c r="AV105" i="4"/>
  <c r="AU105" i="4"/>
  <c r="AM98" i="4"/>
  <c r="AN98" i="4"/>
  <c r="CA108" i="4"/>
  <c r="AV85" i="4"/>
  <c r="AU85" i="4"/>
  <c r="AW85" i="4" s="1"/>
  <c r="AM87" i="4"/>
  <c r="AN87" i="4"/>
  <c r="BQ82" i="4"/>
  <c r="BR82" i="4"/>
  <c r="AV95" i="4"/>
  <c r="AU95" i="4"/>
  <c r="AW95" i="4" s="1"/>
  <c r="BJ62" i="4"/>
  <c r="BK62" i="4" s="1"/>
  <c r="AV47" i="4"/>
  <c r="AU47" i="4"/>
  <c r="BR58" i="4"/>
  <c r="BQ58" i="4"/>
  <c r="BJ43" i="4"/>
  <c r="BK43" i="4" s="1"/>
  <c r="AV72" i="4"/>
  <c r="AU72" i="4"/>
  <c r="BC61" i="4"/>
  <c r="BD61" i="4" s="1"/>
  <c r="AN47" i="4"/>
  <c r="AM47" i="4"/>
  <c r="BB51" i="4"/>
  <c r="BR22" i="4"/>
  <c r="BQ22" i="4"/>
  <c r="BY42" i="4"/>
  <c r="BZ42" i="4" s="1"/>
  <c r="AV17" i="4"/>
  <c r="AU17" i="4"/>
  <c r="BB63" i="4"/>
  <c r="BC57" i="4"/>
  <c r="BD57" i="4" s="1"/>
  <c r="AV22" i="4"/>
  <c r="AU22" i="4"/>
  <c r="BJ45" i="4"/>
  <c r="BK45" i="4" s="1"/>
  <c r="BJ36" i="4"/>
  <c r="BK36" i="4" s="1"/>
  <c r="BR21" i="4"/>
  <c r="BQ21" i="4"/>
  <c r="BR19" i="4"/>
  <c r="BQ19" i="4"/>
  <c r="BS47" i="4"/>
  <c r="BI68" i="4"/>
  <c r="BJ64" i="4"/>
  <c r="BK64" i="4" s="1"/>
  <c r="AV99" i="4"/>
  <c r="AU99" i="4"/>
  <c r="AW99" i="4" s="1"/>
  <c r="AV87" i="4"/>
  <c r="AU87" i="4"/>
  <c r="AW87" i="4" s="1"/>
  <c r="AN73" i="4"/>
  <c r="AM73" i="4"/>
  <c r="BB68" i="4"/>
  <c r="BC64" i="4"/>
  <c r="BD64" i="4" s="1"/>
  <c r="BU289" i="4"/>
  <c r="BT289" i="4"/>
  <c r="AE119" i="4"/>
  <c r="AN105" i="4"/>
  <c r="AM105" i="4"/>
  <c r="AO105" i="4" s="1"/>
  <c r="BR104" i="4"/>
  <c r="BQ104" i="4"/>
  <c r="AN85" i="4"/>
  <c r="AM85" i="4"/>
  <c r="AG102" i="4"/>
  <c r="BX113" i="4"/>
  <c r="BR95" i="4"/>
  <c r="BQ95" i="4"/>
  <c r="BR84" i="4"/>
  <c r="BQ84" i="4"/>
  <c r="BJ58" i="4"/>
  <c r="BK58" i="4" s="1"/>
  <c r="AG66" i="4"/>
  <c r="BC62" i="4"/>
  <c r="BD62" i="4" s="1"/>
  <c r="AG71" i="4"/>
  <c r="BS73" i="4"/>
  <c r="BJ76" i="4"/>
  <c r="BK76" i="4" s="1"/>
  <c r="AN64" i="4"/>
  <c r="AM64" i="4"/>
  <c r="AN59" i="4"/>
  <c r="AM59" i="4"/>
  <c r="AW58" i="4"/>
  <c r="BY36" i="4"/>
  <c r="BZ36" i="4" s="1"/>
  <c r="BJ42" i="4"/>
  <c r="BK42" i="4" s="1"/>
  <c r="BC42" i="4"/>
  <c r="BD42" i="4" s="1"/>
  <c r="AN17" i="4"/>
  <c r="AM17" i="4"/>
  <c r="AV57" i="4"/>
  <c r="AU57" i="4"/>
  <c r="AN22" i="4"/>
  <c r="AM22" i="4"/>
  <c r="AW25" i="4"/>
  <c r="BY19" i="4"/>
  <c r="BZ19" i="4" s="1"/>
  <c r="BI29" i="4"/>
  <c r="AE82" i="4"/>
  <c r="AF82" i="4"/>
  <c r="AE73" i="4"/>
  <c r="AF73" i="4"/>
  <c r="AF64" i="4"/>
  <c r="AE64" i="4"/>
  <c r="AE47" i="4"/>
  <c r="AF47" i="4"/>
  <c r="BC38" i="4"/>
  <c r="BD38" i="4" s="1"/>
  <c r="AG69" i="4"/>
  <c r="BR35" i="4"/>
  <c r="BQ35" i="4"/>
  <c r="BC71" i="4"/>
  <c r="BD71" i="4" s="1"/>
  <c r="BJ60" i="4"/>
  <c r="BK60" i="4" s="1"/>
  <c r="BU287" i="4"/>
  <c r="BT287" i="4"/>
  <c r="BQ287" i="4"/>
  <c r="AV104" i="4"/>
  <c r="AU104" i="4"/>
  <c r="BS99" i="4"/>
  <c r="AG97" i="4"/>
  <c r="BR93" i="4"/>
  <c r="BQ93" i="4"/>
  <c r="AF85" i="4"/>
  <c r="AE85" i="4"/>
  <c r="AN86" i="4"/>
  <c r="AM86" i="4"/>
  <c r="BS85" i="4"/>
  <c r="AV64" i="4"/>
  <c r="AU64" i="4"/>
  <c r="AW67" i="4"/>
  <c r="BI51" i="4"/>
  <c r="BJ47" i="4"/>
  <c r="BK47" i="4" s="1"/>
  <c r="BS64" i="4"/>
  <c r="BQ17" i="4"/>
  <c r="BR17" i="4"/>
  <c r="BR36" i="4"/>
  <c r="BQ36" i="4"/>
  <c r="AF42" i="4"/>
  <c r="AE42" i="4"/>
  <c r="BC21" i="4"/>
  <c r="BD21" i="4" s="1"/>
  <c r="AF17" i="4"/>
  <c r="AE17" i="4"/>
  <c r="AV36" i="4"/>
  <c r="AU36" i="4"/>
  <c r="AF22" i="4"/>
  <c r="AE22" i="4"/>
  <c r="BS59" i="4"/>
  <c r="BC19" i="4"/>
  <c r="BD19" i="4" s="1"/>
  <c r="BI24" i="4"/>
  <c r="BR110" i="4"/>
  <c r="BQ110" i="4"/>
  <c r="AV90" i="4"/>
  <c r="AU90" i="4"/>
  <c r="AW90" i="4" s="1"/>
  <c r="BR92" i="4"/>
  <c r="BQ92" i="4"/>
  <c r="AE95" i="4"/>
  <c r="AF95" i="4"/>
  <c r="AN40" i="4"/>
  <c r="AM40" i="4"/>
  <c r="AV103" i="4"/>
  <c r="AU103" i="4"/>
  <c r="AF87" i="4"/>
  <c r="AE87" i="4"/>
  <c r="AN99" i="4"/>
  <c r="AM99" i="4"/>
  <c r="AN100" i="4"/>
  <c r="AM100" i="4"/>
  <c r="BR97" i="4"/>
  <c r="BQ97" i="4"/>
  <c r="AG101" i="4"/>
  <c r="AF61" i="4"/>
  <c r="AE61" i="4"/>
  <c r="AV61" i="4"/>
  <c r="AU61" i="4"/>
  <c r="BJ40" i="4"/>
  <c r="BK40" i="4" s="1"/>
  <c r="AF72" i="4"/>
  <c r="AE72" i="4"/>
  <c r="BY41" i="4"/>
  <c r="BZ41" i="4" s="1"/>
  <c r="AF107" i="4"/>
  <c r="AE107" i="4"/>
  <c r="BQ281" i="4"/>
  <c r="AG111" i="4"/>
  <c r="AN104" i="4"/>
  <c r="AM104" i="4"/>
  <c r="AO104" i="4" s="1"/>
  <c r="AV93" i="4"/>
  <c r="AU93" i="4"/>
  <c r="AW93" i="4" s="1"/>
  <c r="AG91" i="4"/>
  <c r="AF75" i="4"/>
  <c r="AE75" i="4"/>
  <c r="AF84" i="4"/>
  <c r="AE84" i="4"/>
  <c r="AO49" i="4"/>
  <c r="AO65" i="4"/>
  <c r="AV40" i="4"/>
  <c r="AU40" i="4"/>
  <c r="AN44" i="4"/>
  <c r="AM44" i="4"/>
  <c r="BJ59" i="4"/>
  <c r="BK59" i="4" s="1"/>
  <c r="BC37" i="4"/>
  <c r="BD37" i="4" s="1"/>
  <c r="AN42" i="4"/>
  <c r="AM42" i="4"/>
  <c r="BJ20" i="4"/>
  <c r="BK20" i="4" s="1"/>
  <c r="AG62" i="4"/>
  <c r="AV39" i="4"/>
  <c r="AU39" i="4"/>
  <c r="AN36" i="4"/>
  <c r="AM36" i="4"/>
  <c r="BY16" i="4"/>
  <c r="BZ16" i="4" s="1"/>
  <c r="BX24" i="4"/>
  <c r="AW65" i="4"/>
  <c r="AV45" i="4"/>
  <c r="AU45" i="4"/>
  <c r="BR39" i="4"/>
  <c r="BQ39" i="4"/>
  <c r="BJ22" i="4"/>
  <c r="BK22" i="4" s="1"/>
  <c r="AF19" i="4"/>
  <c r="AE19" i="4"/>
  <c r="CA65" i="4"/>
  <c r="AG65" i="4"/>
  <c r="BR28" i="4"/>
  <c r="BQ28" i="4"/>
  <c r="BB24" i="4"/>
  <c r="BC16" i="4"/>
  <c r="BD16" i="4" s="1"/>
  <c r="BY45" i="4"/>
  <c r="BZ45" i="4" s="1"/>
  <c r="AV42" i="4"/>
  <c r="AU42" i="4"/>
  <c r="BB46" i="4"/>
  <c r="BC35" i="4"/>
  <c r="BD35" i="4" s="1"/>
  <c r="AF36" i="4"/>
  <c r="AE36" i="4"/>
  <c r="BR16" i="4"/>
  <c r="BQ16" i="4"/>
  <c r="AN92" i="4"/>
  <c r="AM92" i="4"/>
  <c r="BY39" i="4"/>
  <c r="BZ39" i="4" s="1"/>
  <c r="BX46" i="4"/>
  <c r="BY35" i="4"/>
  <c r="BZ35" i="4" s="1"/>
  <c r="AN19" i="4"/>
  <c r="AM19" i="4"/>
  <c r="CA27" i="4" l="1"/>
  <c r="CB27" i="4" s="1"/>
  <c r="CC27" i="4" s="1"/>
  <c r="CA74" i="4"/>
  <c r="AN39" i="4"/>
  <c r="AO39" i="4" s="1"/>
  <c r="AG39" i="4"/>
  <c r="AE29" i="4"/>
  <c r="AF29" i="4" s="1"/>
  <c r="AG29" i="4" s="1"/>
  <c r="CA66" i="4"/>
  <c r="CB66" i="4" s="1"/>
  <c r="CC66" i="4" s="1"/>
  <c r="BW283" i="4"/>
  <c r="BX283" i="4" s="1"/>
  <c r="CA26" i="4"/>
  <c r="CB26" i="4" s="1"/>
  <c r="CC26" i="4" s="1"/>
  <c r="BV285" i="4"/>
  <c r="BQ51" i="4"/>
  <c r="AO94" i="4"/>
  <c r="CA23" i="4"/>
  <c r="CB23" i="4" s="1"/>
  <c r="CC23" i="4" s="1"/>
  <c r="AO16" i="4"/>
  <c r="CA20" i="4"/>
  <c r="CB20" i="4" s="1"/>
  <c r="CC20" i="4" s="1"/>
  <c r="CA69" i="4"/>
  <c r="CB69" i="4" s="1"/>
  <c r="CC69" i="4" s="1"/>
  <c r="BW284" i="4"/>
  <c r="BX284" i="4" s="1"/>
  <c r="BV289" i="4"/>
  <c r="CA112" i="4"/>
  <c r="CB112" i="4" s="1"/>
  <c r="CC112" i="4" s="1"/>
  <c r="CA49" i="4"/>
  <c r="CB49" i="4" s="1"/>
  <c r="CC49" i="4" s="1"/>
  <c r="CA25" i="4"/>
  <c r="CB25" i="4" s="1"/>
  <c r="CC25" i="4" s="1"/>
  <c r="CA62" i="4"/>
  <c r="CB62" i="4" s="1"/>
  <c r="CC62" i="4" s="1"/>
  <c r="BS96" i="4"/>
  <c r="CA88" i="4"/>
  <c r="CB88" i="4" s="1"/>
  <c r="CC88" i="4" s="1"/>
  <c r="BS67" i="4"/>
  <c r="BS70" i="4"/>
  <c r="BS112" i="4"/>
  <c r="BS40" i="4"/>
  <c r="AO26" i="4"/>
  <c r="BS91" i="4"/>
  <c r="AW27" i="4"/>
  <c r="BQ68" i="4"/>
  <c r="BR68" i="4" s="1"/>
  <c r="BS68" i="4" s="1"/>
  <c r="CA67" i="4"/>
  <c r="CB67" i="4" s="1"/>
  <c r="CC67" i="4" s="1"/>
  <c r="AU29" i="4"/>
  <c r="AV29" i="4" s="1"/>
  <c r="AW29" i="4" s="1"/>
  <c r="BS60" i="4"/>
  <c r="CA94" i="4"/>
  <c r="CB94" i="4" s="1"/>
  <c r="CC94" i="4" s="1"/>
  <c r="AO48" i="4"/>
  <c r="BS62" i="4"/>
  <c r="CA35" i="4"/>
  <c r="CB35" i="4" s="1"/>
  <c r="CC35" i="4" s="1"/>
  <c r="AW49" i="4"/>
  <c r="BS88" i="4"/>
  <c r="AG58" i="4"/>
  <c r="BS43" i="4"/>
  <c r="BS74" i="4"/>
  <c r="BS106" i="4"/>
  <c r="BS66" i="4"/>
  <c r="AW112" i="4"/>
  <c r="CA96" i="4"/>
  <c r="CB96" i="4" s="1"/>
  <c r="CC96" i="4" s="1"/>
  <c r="BW286" i="4"/>
  <c r="BX286" i="4" s="1"/>
  <c r="BS86" i="4"/>
  <c r="BS109" i="4"/>
  <c r="BQ76" i="4"/>
  <c r="CA48" i="4"/>
  <c r="CB48" i="4" s="1"/>
  <c r="CC48" i="4" s="1"/>
  <c r="CA58" i="4"/>
  <c r="CB58" i="4" s="1"/>
  <c r="CC58" i="4" s="1"/>
  <c r="BV288" i="4"/>
  <c r="AG60" i="4"/>
  <c r="CA91" i="4"/>
  <c r="CB91" i="4" s="1"/>
  <c r="CC91" i="4" s="1"/>
  <c r="BS71" i="4"/>
  <c r="CA43" i="4"/>
  <c r="CB43" i="4" s="1"/>
  <c r="CC43" i="4" s="1"/>
  <c r="CA70" i="4"/>
  <c r="CB70" i="4" s="1"/>
  <c r="CC70" i="4" s="1"/>
  <c r="CA101" i="4"/>
  <c r="CB101" i="4" s="1"/>
  <c r="CC101" i="4" s="1"/>
  <c r="CA71" i="4"/>
  <c r="CA102" i="4"/>
  <c r="CB102" i="4" s="1"/>
  <c r="CC102" i="4" s="1"/>
  <c r="CA89" i="4"/>
  <c r="CB89" i="4" s="1"/>
  <c r="CC89" i="4" s="1"/>
  <c r="CA38" i="4"/>
  <c r="CB38" i="4" s="1"/>
  <c r="CC38" i="4" s="1"/>
  <c r="BW282" i="4"/>
  <c r="BX282" i="4" s="1"/>
  <c r="BW285" i="4"/>
  <c r="BX285" i="4" s="1"/>
  <c r="BV280" i="4"/>
  <c r="BW289" i="4"/>
  <c r="BX289" i="4" s="1"/>
  <c r="BV282" i="4"/>
  <c r="CA18" i="4"/>
  <c r="CB18" i="4" s="1"/>
  <c r="CC18" i="4" s="1"/>
  <c r="BW281" i="4"/>
  <c r="BX281" i="4" s="1"/>
  <c r="CA41" i="4"/>
  <c r="CB41" i="4" s="1"/>
  <c r="CC41" i="4" s="1"/>
  <c r="AU76" i="4"/>
  <c r="AO99" i="4"/>
  <c r="BS58" i="4"/>
  <c r="AW105" i="4"/>
  <c r="BS103" i="4"/>
  <c r="AO87" i="4"/>
  <c r="AO28" i="4"/>
  <c r="AW110" i="4"/>
  <c r="BS39" i="4"/>
  <c r="AO72" i="4"/>
  <c r="BS111" i="4"/>
  <c r="AO19" i="4"/>
  <c r="CA97" i="4"/>
  <c r="CB97" i="4" s="1"/>
  <c r="CC97" i="4" s="1"/>
  <c r="AW19" i="4"/>
  <c r="BS42" i="4"/>
  <c r="AE24" i="4"/>
  <c r="AF24" i="4" s="1"/>
  <c r="AG24" i="4" s="1"/>
  <c r="AW45" i="4"/>
  <c r="AW103" i="4"/>
  <c r="BS92" i="4"/>
  <c r="BS44" i="4"/>
  <c r="AW17" i="4"/>
  <c r="AW42" i="4"/>
  <c r="AG43" i="4"/>
  <c r="AO36" i="4"/>
  <c r="AW40" i="4"/>
  <c r="AO62" i="4"/>
  <c r="AW73" i="4"/>
  <c r="BS105" i="4"/>
  <c r="BS22" i="4"/>
  <c r="AO61" i="4"/>
  <c r="BS72" i="4"/>
  <c r="AW36" i="4"/>
  <c r="BS36" i="4"/>
  <c r="BS93" i="4"/>
  <c r="AO73" i="4"/>
  <c r="BS87" i="4"/>
  <c r="AO40" i="4"/>
  <c r="AO42" i="4"/>
  <c r="AU46" i="4"/>
  <c r="AW106" i="4"/>
  <c r="AW39" i="4"/>
  <c r="AO22" i="4"/>
  <c r="AW72" i="4"/>
  <c r="BS37" i="4"/>
  <c r="AO83" i="4"/>
  <c r="CA83" i="4"/>
  <c r="CB83" i="4" s="1"/>
  <c r="CC83" i="4" s="1"/>
  <c r="AW102" i="4"/>
  <c r="CA93" i="4"/>
  <c r="CB93" i="4" s="1"/>
  <c r="CC93" i="4" s="1"/>
  <c r="AW109" i="4"/>
  <c r="CA109" i="4"/>
  <c r="CB109" i="4" s="1"/>
  <c r="CC109" i="4" s="1"/>
  <c r="AO100" i="4"/>
  <c r="AW104" i="4"/>
  <c r="BS95" i="4"/>
  <c r="BS41" i="4"/>
  <c r="BW288" i="4"/>
  <c r="BX288" i="4" s="1"/>
  <c r="AO41" i="4"/>
  <c r="AG36" i="4"/>
  <c r="CA36" i="4"/>
  <c r="BX30" i="4"/>
  <c r="BY24" i="4"/>
  <c r="BZ24" i="4" s="1"/>
  <c r="BC68" i="4"/>
  <c r="BD68" i="4" s="1"/>
  <c r="AG105" i="4"/>
  <c r="CA105" i="4"/>
  <c r="AO60" i="4"/>
  <c r="CA60" i="4"/>
  <c r="AE113" i="4"/>
  <c r="AG82" i="4"/>
  <c r="CA82" i="4"/>
  <c r="AG107" i="4"/>
  <c r="CA107" i="4"/>
  <c r="AW61" i="4"/>
  <c r="BS110" i="4"/>
  <c r="BI30" i="4"/>
  <c r="BJ24" i="4"/>
  <c r="BK24" i="4" s="1"/>
  <c r="AO17" i="4"/>
  <c r="AO85" i="4"/>
  <c r="AW37" i="4"/>
  <c r="AG99" i="4"/>
  <c r="CA99" i="4"/>
  <c r="BC63" i="4"/>
  <c r="BD63" i="4" s="1"/>
  <c r="BB77" i="4"/>
  <c r="CA110" i="4"/>
  <c r="AG110" i="4"/>
  <c r="AO90" i="4"/>
  <c r="CA90" i="4"/>
  <c r="BX52" i="4"/>
  <c r="BY46" i="4"/>
  <c r="AG85" i="4"/>
  <c r="CA85" i="4"/>
  <c r="CA119" i="4"/>
  <c r="AG119" i="4"/>
  <c r="AE120" i="4"/>
  <c r="CB108" i="4"/>
  <c r="CC108" i="4" s="1"/>
  <c r="AG45" i="4"/>
  <c r="CA45" i="4"/>
  <c r="BB30" i="4"/>
  <c r="BC24" i="4"/>
  <c r="BD24" i="4" s="1"/>
  <c r="CA84" i="4"/>
  <c r="AG84" i="4"/>
  <c r="AM46" i="4"/>
  <c r="CA95" i="4"/>
  <c r="AG95" i="4"/>
  <c r="BW287" i="4"/>
  <c r="BX287" i="4" s="1"/>
  <c r="BQ46" i="4"/>
  <c r="BS35" i="4"/>
  <c r="AG47" i="4"/>
  <c r="AE51" i="4"/>
  <c r="CA47" i="4"/>
  <c r="BS84" i="4"/>
  <c r="AE46" i="4"/>
  <c r="AO98" i="4"/>
  <c r="CA98" i="4"/>
  <c r="AO25" i="4"/>
  <c r="AM29" i="4"/>
  <c r="AG44" i="4"/>
  <c r="CA44" i="4"/>
  <c r="AG100" i="4"/>
  <c r="CA100" i="4"/>
  <c r="BS25" i="4"/>
  <c r="BQ29" i="4"/>
  <c r="BI77" i="4"/>
  <c r="BJ63" i="4"/>
  <c r="BK63" i="4" s="1"/>
  <c r="AO95" i="4"/>
  <c r="AO75" i="4"/>
  <c r="BC51" i="4"/>
  <c r="BD51" i="4" s="1"/>
  <c r="CB65" i="4"/>
  <c r="CC65" i="4" s="1"/>
  <c r="AG22" i="4"/>
  <c r="CA22" i="4"/>
  <c r="BJ68" i="4"/>
  <c r="BK68" i="4" s="1"/>
  <c r="AM51" i="4"/>
  <c r="AO47" i="4"/>
  <c r="AO92" i="4"/>
  <c r="BC46" i="4"/>
  <c r="BB52" i="4"/>
  <c r="BS28" i="4"/>
  <c r="AO44" i="4"/>
  <c r="BS97" i="4"/>
  <c r="CA87" i="4"/>
  <c r="AG87" i="4"/>
  <c r="BJ51" i="4"/>
  <c r="BK51" i="4" s="1"/>
  <c r="CA64" i="4"/>
  <c r="AG64" i="4"/>
  <c r="AE68" i="4"/>
  <c r="AM24" i="4"/>
  <c r="AO59" i="4"/>
  <c r="BS104" i="4"/>
  <c r="BR51" i="4"/>
  <c r="BS51" i="4" s="1"/>
  <c r="BS21" i="4"/>
  <c r="AW22" i="4"/>
  <c r="BQ113" i="4"/>
  <c r="BS82" i="4"/>
  <c r="BT290" i="4"/>
  <c r="BT291" i="4"/>
  <c r="AW50" i="4"/>
  <c r="CA92" i="4"/>
  <c r="AG92" i="4"/>
  <c r="AW47" i="4"/>
  <c r="AU51" i="4"/>
  <c r="AW28" i="4"/>
  <c r="BU290" i="4"/>
  <c r="BU291" i="4"/>
  <c r="AG28" i="4"/>
  <c r="CA28" i="4"/>
  <c r="AW59" i="4"/>
  <c r="AG106" i="4"/>
  <c r="CA106" i="4"/>
  <c r="CA39" i="4"/>
  <c r="AG75" i="4"/>
  <c r="CA75" i="4"/>
  <c r="AM76" i="4"/>
  <c r="BS16" i="4"/>
  <c r="BQ24" i="4"/>
  <c r="AG72" i="4"/>
  <c r="CA72" i="4"/>
  <c r="AW64" i="4"/>
  <c r="AU68" i="4"/>
  <c r="BV287" i="4"/>
  <c r="AE76" i="4"/>
  <c r="AO64" i="4"/>
  <c r="AM68" i="4"/>
  <c r="AU24" i="4"/>
  <c r="AU120" i="4"/>
  <c r="AW119" i="4"/>
  <c r="CA50" i="4"/>
  <c r="AG50" i="4"/>
  <c r="AM113" i="4"/>
  <c r="AO82" i="4"/>
  <c r="BV281" i="4"/>
  <c r="AU113" i="4"/>
  <c r="AW82" i="4"/>
  <c r="D10" i="7"/>
  <c r="D9" i="7"/>
  <c r="AN120" i="4"/>
  <c r="AO120" i="4" s="1"/>
  <c r="CA103" i="4"/>
  <c r="AG103" i="4"/>
  <c r="CA21" i="4"/>
  <c r="BC29" i="4"/>
  <c r="BD29" i="4" s="1"/>
  <c r="CA40" i="4"/>
  <c r="AG40" i="4"/>
  <c r="CA104" i="4"/>
  <c r="AG104" i="4"/>
  <c r="AU63" i="4"/>
  <c r="AW57" i="4"/>
  <c r="CA42" i="4"/>
  <c r="AG42" i="4"/>
  <c r="CA37" i="4"/>
  <c r="AG17" i="4"/>
  <c r="CA17" i="4"/>
  <c r="CB74" i="4"/>
  <c r="CC74" i="4" s="1"/>
  <c r="CA61" i="4"/>
  <c r="AG61" i="4"/>
  <c r="BS17" i="4"/>
  <c r="BI52" i="4"/>
  <c r="CA19" i="4"/>
  <c r="AG19" i="4"/>
  <c r="CA111" i="4"/>
  <c r="CA16" i="4"/>
  <c r="AO86" i="4"/>
  <c r="CA86" i="4"/>
  <c r="AG73" i="4"/>
  <c r="CA73" i="4"/>
  <c r="BJ29" i="4"/>
  <c r="BK29" i="4" s="1"/>
  <c r="C24" i="7"/>
  <c r="BY113" i="4"/>
  <c r="BZ113" i="4" s="1"/>
  <c r="BS19" i="4"/>
  <c r="CA57" i="4"/>
  <c r="AG57" i="4"/>
  <c r="AE63" i="4"/>
  <c r="AM63" i="4"/>
  <c r="BS57" i="4"/>
  <c r="BQ63" i="4"/>
  <c r="CA59" i="4"/>
  <c r="AG59" i="4"/>
  <c r="AO71" i="4"/>
  <c r="BQ120" i="4"/>
  <c r="BS119" i="4"/>
  <c r="AV46" i="4" l="1"/>
  <c r="AV76" i="4"/>
  <c r="AW76" i="4" s="1"/>
  <c r="CA29" i="4"/>
  <c r="CB29" i="4" s="1"/>
  <c r="CC29" i="4" s="1"/>
  <c r="CB71" i="4"/>
  <c r="CC71" i="4" s="1"/>
  <c r="BR76" i="4"/>
  <c r="BS76" i="4" s="1"/>
  <c r="BU293" i="4"/>
  <c r="AE30" i="4"/>
  <c r="C4" i="7" s="1"/>
  <c r="E7" i="7"/>
  <c r="AV113" i="4"/>
  <c r="AW113" i="4" s="1"/>
  <c r="BR29" i="4"/>
  <c r="BS29" i="4" s="1"/>
  <c r="AV24" i="4"/>
  <c r="AW24" i="4" s="1"/>
  <c r="AU30" i="4"/>
  <c r="CB45" i="4"/>
  <c r="CC45" i="4" s="1"/>
  <c r="CB107" i="4"/>
  <c r="CC107" i="4" s="1"/>
  <c r="CB86" i="4"/>
  <c r="CC86" i="4" s="1"/>
  <c r="CB39" i="4"/>
  <c r="CC39" i="4" s="1"/>
  <c r="CB22" i="4"/>
  <c r="CC22" i="4" s="1"/>
  <c r="AF51" i="4"/>
  <c r="AG51" i="4" s="1"/>
  <c r="CB85" i="4"/>
  <c r="CC85" i="4" s="1"/>
  <c r="H10" i="7"/>
  <c r="H9" i="7"/>
  <c r="BR120" i="4"/>
  <c r="BS120" i="4" s="1"/>
  <c r="CB19" i="4"/>
  <c r="CC19" i="4" s="1"/>
  <c r="CB103" i="4"/>
  <c r="CC103" i="4" s="1"/>
  <c r="CB106" i="4"/>
  <c r="CC106" i="4" s="1"/>
  <c r="AV51" i="4"/>
  <c r="AW51" i="4" s="1"/>
  <c r="BT293" i="4"/>
  <c r="CB87" i="4"/>
  <c r="CC87" i="4" s="1"/>
  <c r="CB100" i="4"/>
  <c r="CC100" i="4" s="1"/>
  <c r="CB84" i="4"/>
  <c r="CC84" i="4" s="1"/>
  <c r="G4" i="7"/>
  <c r="BI114" i="4"/>
  <c r="BJ30" i="4"/>
  <c r="BK30" i="4" s="1"/>
  <c r="C22" i="7"/>
  <c r="BX114" i="4"/>
  <c r="BY30" i="4"/>
  <c r="BZ30" i="4" s="1"/>
  <c r="AN46" i="4"/>
  <c r="AM52" i="4"/>
  <c r="CB99" i="4"/>
  <c r="CC99" i="4" s="1"/>
  <c r="CB72" i="4"/>
  <c r="CC72" i="4" s="1"/>
  <c r="CB57" i="4"/>
  <c r="CC57" i="4" s="1"/>
  <c r="CA63" i="4"/>
  <c r="G5" i="7"/>
  <c r="BJ52" i="4"/>
  <c r="BK52" i="4" s="1"/>
  <c r="CB17" i="4"/>
  <c r="CC17" i="4" s="1"/>
  <c r="CB42" i="4"/>
  <c r="CC42" i="4" s="1"/>
  <c r="D7" i="7"/>
  <c r="AN113" i="4"/>
  <c r="AO113" i="4" s="1"/>
  <c r="AN24" i="4"/>
  <c r="AO24" i="4" s="1"/>
  <c r="AM30" i="4"/>
  <c r="CB60" i="4"/>
  <c r="CC60" i="4" s="1"/>
  <c r="CB36" i="4"/>
  <c r="CC36" i="4" s="1"/>
  <c r="C7" i="7"/>
  <c r="AF113" i="4"/>
  <c r="AG113" i="4" s="1"/>
  <c r="AN68" i="4"/>
  <c r="AO68" i="4" s="1"/>
  <c r="AN51" i="4"/>
  <c r="AO51" i="4" s="1"/>
  <c r="CB44" i="4"/>
  <c r="CC44" i="4" s="1"/>
  <c r="CB110" i="4"/>
  <c r="CC110" i="4" s="1"/>
  <c r="CB111" i="4"/>
  <c r="CC111" i="4" s="1"/>
  <c r="CB98" i="4"/>
  <c r="CC98" i="4" s="1"/>
  <c r="AE77" i="4"/>
  <c r="AF63" i="4"/>
  <c r="AG63" i="4" s="1"/>
  <c r="CB104" i="4"/>
  <c r="CC104" i="4" s="1"/>
  <c r="AF68" i="4"/>
  <c r="AG68" i="4" s="1"/>
  <c r="AF46" i="4"/>
  <c r="AE52" i="4"/>
  <c r="CB37" i="4"/>
  <c r="CC37" i="4" s="1"/>
  <c r="CB40" i="4"/>
  <c r="CC40" i="4" s="1"/>
  <c r="CB50" i="4"/>
  <c r="CC50" i="4" s="1"/>
  <c r="AF76" i="4"/>
  <c r="AG76" i="4" s="1"/>
  <c r="BR24" i="4"/>
  <c r="BS24" i="4" s="1"/>
  <c r="BQ30" i="4"/>
  <c r="CB28" i="4"/>
  <c r="CC28" i="4" s="1"/>
  <c r="CB92" i="4"/>
  <c r="CC92" i="4" s="1"/>
  <c r="CB105" i="4"/>
  <c r="CC105" i="4" s="1"/>
  <c r="AM77" i="4"/>
  <c r="AN63" i="4"/>
  <c r="AO63" i="4" s="1"/>
  <c r="CA51" i="4"/>
  <c r="CB47" i="4"/>
  <c r="CC47" i="4" s="1"/>
  <c r="H7" i="7"/>
  <c r="BR113" i="4"/>
  <c r="BS113" i="4" s="1"/>
  <c r="BQ52" i="4"/>
  <c r="BR46" i="4"/>
  <c r="CB59" i="4"/>
  <c r="CC59" i="4" s="1"/>
  <c r="AU77" i="4"/>
  <c r="AV63" i="4"/>
  <c r="AW63" i="4" s="1"/>
  <c r="BQ77" i="4"/>
  <c r="BR63" i="4"/>
  <c r="BS63" i="4" s="1"/>
  <c r="CB61" i="4"/>
  <c r="CC61" i="4" s="1"/>
  <c r="AN76" i="4"/>
  <c r="AO76" i="4" s="1"/>
  <c r="CA68" i="4"/>
  <c r="CB64" i="4"/>
  <c r="CC64" i="4" s="1"/>
  <c r="F5" i="7"/>
  <c r="BC52" i="4"/>
  <c r="BD52" i="4" s="1"/>
  <c r="AU52" i="4"/>
  <c r="AN29" i="4"/>
  <c r="AO29" i="4" s="1"/>
  <c r="C10" i="7"/>
  <c r="C9" i="7"/>
  <c r="AF120" i="4"/>
  <c r="AG120" i="4" s="1"/>
  <c r="C23" i="7"/>
  <c r="BY52" i="4"/>
  <c r="BZ52" i="4" s="1"/>
  <c r="F6" i="7"/>
  <c r="BC77" i="4"/>
  <c r="BD77" i="4" s="1"/>
  <c r="CA113" i="4"/>
  <c r="CB82" i="4"/>
  <c r="CC82" i="4" s="1"/>
  <c r="CB21" i="4"/>
  <c r="CC21" i="4" s="1"/>
  <c r="CB119" i="4"/>
  <c r="CC119" i="4" s="1"/>
  <c r="CA120" i="4"/>
  <c r="CB73" i="4"/>
  <c r="CC73" i="4" s="1"/>
  <c r="CA76" i="4"/>
  <c r="CB16" i="4"/>
  <c r="CC16" i="4" s="1"/>
  <c r="CA24" i="4"/>
  <c r="E9" i="7"/>
  <c r="E10" i="7"/>
  <c r="AV120" i="4"/>
  <c r="AW120" i="4" s="1"/>
  <c r="AV68" i="4"/>
  <c r="AW68" i="4" s="1"/>
  <c r="CB75" i="4"/>
  <c r="CC75" i="4" s="1"/>
  <c r="G6" i="7"/>
  <c r="BJ77" i="4"/>
  <c r="BK77" i="4" s="1"/>
  <c r="CB95" i="4"/>
  <c r="CC95" i="4" s="1"/>
  <c r="F4" i="7"/>
  <c r="BB114" i="4"/>
  <c r="BC30" i="4"/>
  <c r="BD30" i="4" s="1"/>
  <c r="CB90" i="4"/>
  <c r="CC90" i="4" s="1"/>
  <c r="CA46" i="4"/>
  <c r="AF30" i="4" l="1"/>
  <c r="AG30" i="4" s="1"/>
  <c r="AE114" i="4"/>
  <c r="C8" i="7" s="1"/>
  <c r="C25" i="7"/>
  <c r="CB46" i="4"/>
  <c r="CC46" i="4" s="1"/>
  <c r="CA52" i="4"/>
  <c r="CB51" i="4"/>
  <c r="CC51" i="4" s="1"/>
  <c r="E6" i="7"/>
  <c r="AV77" i="4"/>
  <c r="AW77" i="4" s="1"/>
  <c r="D5" i="7"/>
  <c r="AN52" i="4"/>
  <c r="AO52" i="4" s="1"/>
  <c r="D43" i="7"/>
  <c r="G8" i="7"/>
  <c r="BI123" i="4"/>
  <c r="BJ114" i="4"/>
  <c r="BK114" i="4" s="1"/>
  <c r="E5" i="7"/>
  <c r="AV52" i="4"/>
  <c r="AW52" i="4" s="1"/>
  <c r="I7" i="7"/>
  <c r="CB113" i="4"/>
  <c r="K7" i="7" s="1"/>
  <c r="I10" i="7"/>
  <c r="I9" i="7"/>
  <c r="CB120" i="4"/>
  <c r="H5" i="7"/>
  <c r="BR52" i="4"/>
  <c r="BS52" i="4" s="1"/>
  <c r="H4" i="7"/>
  <c r="BQ114" i="4"/>
  <c r="BR30" i="4"/>
  <c r="BS30" i="4" s="1"/>
  <c r="H6" i="7"/>
  <c r="BR77" i="4"/>
  <c r="BS77" i="4" s="1"/>
  <c r="D6" i="7"/>
  <c r="AN77" i="4"/>
  <c r="AO77" i="4" s="1"/>
  <c r="CB63" i="4"/>
  <c r="CC63" i="4" s="1"/>
  <c r="CA77" i="4"/>
  <c r="E4" i="7"/>
  <c r="AU114" i="4"/>
  <c r="AV30" i="4"/>
  <c r="AW30" i="4" s="1"/>
  <c r="CB76" i="4"/>
  <c r="CC76" i="4" s="1"/>
  <c r="CB68" i="4"/>
  <c r="CC68" i="4" s="1"/>
  <c r="F8" i="7"/>
  <c r="D42" i="7"/>
  <c r="BC114" i="4"/>
  <c r="BD114" i="4" s="1"/>
  <c r="BB123" i="4"/>
  <c r="CB24" i="4"/>
  <c r="CC24" i="4" s="1"/>
  <c r="CA30" i="4"/>
  <c r="C5" i="7"/>
  <c r="AF52" i="4"/>
  <c r="AG52" i="4" s="1"/>
  <c r="C6" i="7"/>
  <c r="AF77" i="4"/>
  <c r="AG77" i="4" s="1"/>
  <c r="D4" i="7"/>
  <c r="AM114" i="4"/>
  <c r="AN30" i="4"/>
  <c r="AO30" i="4" s="1"/>
  <c r="BX123" i="4"/>
  <c r="BY114" i="4"/>
  <c r="BZ114" i="4" s="1"/>
  <c r="AF114" i="4" l="1"/>
  <c r="AG114" i="4" s="1"/>
  <c r="D39" i="7"/>
  <c r="C39" i="7" s="1"/>
  <c r="AE123" i="4"/>
  <c r="C11" i="7" s="1"/>
  <c r="D44" i="7"/>
  <c r="H8" i="7"/>
  <c r="BR114" i="4"/>
  <c r="BS114" i="4" s="1"/>
  <c r="BQ123" i="4"/>
  <c r="C32" i="7"/>
  <c r="G11" i="7"/>
  <c r="D56" i="7"/>
  <c r="BJ123" i="4"/>
  <c r="BK123" i="4" s="1"/>
  <c r="I4" i="7"/>
  <c r="CA114" i="4"/>
  <c r="CB30" i="4"/>
  <c r="K4" i="7" s="1"/>
  <c r="CC113" i="4"/>
  <c r="D8" i="7"/>
  <c r="D40" i="7"/>
  <c r="AM123" i="4"/>
  <c r="AN114" i="4"/>
  <c r="AO114" i="4" s="1"/>
  <c r="D55" i="7"/>
  <c r="F11" i="7"/>
  <c r="BC123" i="4"/>
  <c r="BD123" i="4" s="1"/>
  <c r="BY123" i="4"/>
  <c r="BZ123" i="4" s="1"/>
  <c r="K10" i="7"/>
  <c r="K9" i="7"/>
  <c r="I5" i="7"/>
  <c r="CB52" i="4"/>
  <c r="K5" i="7" s="1"/>
  <c r="E8" i="7"/>
  <c r="D41" i="7"/>
  <c r="AV114" i="4"/>
  <c r="AW114" i="4" s="1"/>
  <c r="AU123" i="4"/>
  <c r="I6" i="7"/>
  <c r="CB77" i="4"/>
  <c r="K6" i="7" s="1"/>
  <c r="CC120" i="4"/>
  <c r="D52" i="7" l="1"/>
  <c r="C52" i="7" s="1"/>
  <c r="AF123" i="4"/>
  <c r="AG123" i="4" s="1"/>
  <c r="CC77" i="4"/>
  <c r="D53" i="7"/>
  <c r="D11" i="7"/>
  <c r="AN123" i="4"/>
  <c r="AO123" i="4" s="1"/>
  <c r="C44" i="7"/>
  <c r="C40" i="7"/>
  <c r="C41" i="7"/>
  <c r="CC30" i="4"/>
  <c r="D54" i="7"/>
  <c r="E11" i="7"/>
  <c r="AV123" i="4"/>
  <c r="AW123" i="4" s="1"/>
  <c r="D45" i="7"/>
  <c r="E41" i="7" s="1"/>
  <c r="I8" i="7"/>
  <c r="CA123" i="4"/>
  <c r="CC52" i="4"/>
  <c r="D57" i="7"/>
  <c r="H11" i="7"/>
  <c r="BR123" i="4"/>
  <c r="BS123" i="4" s="1"/>
  <c r="CB114" i="4" l="1"/>
  <c r="K8" i="7" s="1"/>
  <c r="D58" i="7"/>
  <c r="E52" i="7" s="1"/>
  <c r="E44" i="7"/>
  <c r="C54" i="7"/>
  <c r="C31" i="7"/>
  <c r="C33" i="7" s="1"/>
  <c r="C57" i="7"/>
  <c r="I11" i="7"/>
  <c r="J8" i="7" s="1"/>
  <c r="E39" i="7"/>
  <c r="E42" i="7"/>
  <c r="E43" i="7"/>
  <c r="E40" i="7"/>
  <c r="C53" i="7"/>
  <c r="CC114" i="4" l="1"/>
  <c r="CB123" i="4" s="1"/>
  <c r="K11" i="7" s="1"/>
  <c r="E45" i="7"/>
  <c r="E53" i="7"/>
  <c r="E57" i="7"/>
  <c r="E54" i="7"/>
  <c r="E55" i="7"/>
  <c r="E56" i="7"/>
  <c r="J11" i="7"/>
  <c r="D14" i="7"/>
  <c r="D15" i="7"/>
  <c r="J10" i="7"/>
  <c r="J7" i="7"/>
  <c r="J9" i="7"/>
  <c r="J4" i="7"/>
  <c r="J5" i="7"/>
  <c r="J6" i="7"/>
  <c r="CC123" i="4" l="1"/>
  <c r="E5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80123558</author>
  </authors>
  <commentList>
    <comment ref="B14" authorId="0" shapeId="0" xr:uid="{00000000-0006-0000-0100-000001000000}">
      <text>
        <r>
          <rPr>
            <b/>
            <sz val="9"/>
            <rFont val="Tahoma"/>
            <family val="2"/>
          </rPr>
          <t>80123558:</t>
        </r>
        <r>
          <rPr>
            <sz val="9"/>
            <rFont val="Tahoma"/>
            <family val="2"/>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14" authorId="0" shapeId="0" xr:uid="{00000000-0006-0000-0100-000002000000}">
      <text>
        <r>
          <rPr>
            <b/>
            <sz val="9"/>
            <rFont val="Tahoma"/>
            <family val="2"/>
          </rPr>
          <t>80123558:</t>
        </r>
        <r>
          <rPr>
            <sz val="9"/>
            <rFont val="Tahoma"/>
            <family val="2"/>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14" authorId="0" shapeId="0" xr:uid="{00000000-0006-0000-0100-000003000000}">
      <text>
        <r>
          <rPr>
            <b/>
            <sz val="9"/>
            <rFont val="Tahoma"/>
            <family val="2"/>
          </rPr>
          <t>80123558:</t>
        </r>
        <r>
          <rPr>
            <sz val="9"/>
            <rFont val="Tahoma"/>
            <family val="2"/>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14" authorId="1" shapeId="0" xr:uid="{00000000-0006-0000-0100-000004000000}">
      <text>
        <r>
          <rPr>
            <b/>
            <sz val="9"/>
            <rFont val="Tahoma"/>
            <family val="2"/>
          </rPr>
          <t>80123558:</t>
        </r>
        <r>
          <rPr>
            <sz val="9"/>
            <rFont val="Tahoma"/>
            <family val="2"/>
          </rPr>
          <t xml:space="preserve">
Despliegue la lista y seleccione la categoría de datos de actividad asociada al consumo en su organización </t>
        </r>
      </text>
    </comment>
    <comment ref="CA14" authorId="1" shapeId="0" xr:uid="{00000000-0006-0000-0100-000005000000}">
      <text>
        <r>
          <rPr>
            <b/>
            <sz val="9"/>
            <rFont val="Tahoma"/>
            <family val="2"/>
          </rPr>
          <t>80123558:</t>
        </r>
        <r>
          <rPr>
            <sz val="9"/>
            <rFont val="Tahoma"/>
            <family val="2"/>
          </rPr>
          <t xml:space="preserve">
Devuelve el valor de las emisiones de GEI asociadas a la variable elegida.</t>
        </r>
      </text>
    </comment>
    <comment ref="CB14" authorId="1" shapeId="0" xr:uid="{00000000-0006-0000-0100-000006000000}">
      <text>
        <r>
          <rPr>
            <b/>
            <sz val="9"/>
            <rFont val="Tahoma"/>
            <family val="2"/>
          </rPr>
          <t>80123558:</t>
        </r>
        <r>
          <rPr>
            <sz val="9"/>
            <rFont val="Tahoma"/>
            <family val="2"/>
          </rPr>
          <t xml:space="preserve">
Devuelve el valor de la incertidumbre estimada, asociada al calculo de las emisiones de GEI de la variable elegida.</t>
        </r>
      </text>
    </comment>
    <comment ref="F15" authorId="1" shapeId="0" xr:uid="{00000000-0006-0000-0100-000007000000}">
      <text>
        <r>
          <rPr>
            <b/>
            <sz val="9"/>
            <rFont val="Tahoma"/>
            <family val="2"/>
          </rPr>
          <t>80123558:</t>
        </r>
        <r>
          <rPr>
            <sz val="9"/>
            <rFont val="Tahoma"/>
            <family val="2"/>
          </rPr>
          <t xml:space="preserve">
Indica la unidad en la que deben ser consignados los datos de consumo asociados a la variable elegida en la columna anterior</t>
        </r>
      </text>
    </comment>
    <comment ref="G15" authorId="1" shapeId="0" xr:uid="{00000000-0006-0000-0100-000008000000}">
      <text>
        <r>
          <rPr>
            <b/>
            <sz val="9"/>
            <rFont val="Tahoma"/>
            <family val="2"/>
          </rPr>
          <t xml:space="preserve">80123558:
</t>
        </r>
        <r>
          <rPr>
            <sz val="9"/>
            <rFont val="Tahoma"/>
            <family val="2"/>
          </rPr>
          <t>Incluya el valor del primer (o único) dato asociado a la variable correspondiente, en las unidades descritas en la columna "UNIDAD".</t>
        </r>
      </text>
    </comment>
    <comment ref="H15" authorId="1" shapeId="0" xr:uid="{00000000-0006-0000-0100-000009000000}">
      <text>
        <r>
          <rPr>
            <b/>
            <sz val="9"/>
            <rFont val="Tahoma"/>
            <family val="2"/>
          </rPr>
          <t>80123558:</t>
        </r>
        <r>
          <rPr>
            <sz val="9"/>
            <rFont val="Tahoma"/>
            <family val="2"/>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15" authorId="1" shapeId="0" xr:uid="{00000000-0006-0000-0100-00000A000000}">
      <text>
        <r>
          <rPr>
            <b/>
            <sz val="9"/>
            <rFont val="Tahoma"/>
            <family val="2"/>
          </rPr>
          <t>80123558:</t>
        </r>
        <r>
          <rPr>
            <sz val="9"/>
            <rFont val="Tahoma"/>
            <family val="2"/>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15" authorId="1" shapeId="0" xr:uid="{00000000-0006-0000-0100-00000B000000}">
      <text>
        <r>
          <rPr>
            <b/>
            <sz val="9"/>
            <rFont val="Tahoma"/>
            <family val="2"/>
          </rPr>
          <t>80123558:</t>
        </r>
        <r>
          <rPr>
            <sz val="9"/>
            <rFont val="Tahoma"/>
            <family val="2"/>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15" authorId="1" shapeId="0" xr:uid="{00000000-0006-0000-0100-00000C000000}">
      <text>
        <r>
          <rPr>
            <b/>
            <sz val="9"/>
            <rFont val="Tahoma"/>
            <family val="2"/>
          </rPr>
          <t>80123558:</t>
        </r>
        <r>
          <rPr>
            <sz val="9"/>
            <rFont val="Tahoma"/>
            <family val="2"/>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15" authorId="1" shapeId="0" xr:uid="{00000000-0006-0000-0100-00000D000000}">
      <text>
        <r>
          <rPr>
            <b/>
            <sz val="9"/>
            <rFont val="Tahoma"/>
            <family val="2"/>
          </rPr>
          <t>80123558:</t>
        </r>
        <r>
          <rPr>
            <sz val="9"/>
            <rFont val="Tahoma"/>
            <family val="2"/>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15" authorId="1" shapeId="0" xr:uid="{00000000-0006-0000-0100-00000E000000}">
      <text>
        <r>
          <rPr>
            <b/>
            <sz val="9"/>
            <rFont val="Tahoma"/>
            <family val="2"/>
          </rPr>
          <t>80123558:</t>
        </r>
        <r>
          <rPr>
            <sz val="9"/>
            <rFont val="Tahoma"/>
            <family val="2"/>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15" authorId="1" shapeId="0" xr:uid="{00000000-0006-0000-0100-00000F000000}">
      <text>
        <r>
          <rPr>
            <b/>
            <sz val="9"/>
            <rFont val="Tahoma"/>
            <family val="2"/>
          </rPr>
          <t>80123558:</t>
        </r>
        <r>
          <rPr>
            <sz val="9"/>
            <rFont val="Tahoma"/>
            <family val="2"/>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15" authorId="1" shapeId="0" xr:uid="{00000000-0006-0000-0100-000010000000}">
      <text>
        <r>
          <rPr>
            <b/>
            <sz val="9"/>
            <rFont val="Tahoma"/>
            <family val="2"/>
          </rPr>
          <t>80123558:</t>
        </r>
        <r>
          <rPr>
            <sz val="9"/>
            <rFont val="Tahoma"/>
            <family val="2"/>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15" authorId="1" shapeId="0" xr:uid="{00000000-0006-0000-0100-000011000000}">
      <text>
        <r>
          <rPr>
            <b/>
            <sz val="9"/>
            <rFont val="Tahoma"/>
            <family val="2"/>
          </rPr>
          <t>80123558:</t>
        </r>
        <r>
          <rPr>
            <sz val="9"/>
            <rFont val="Tahoma"/>
            <family val="2"/>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15" authorId="1" shapeId="0" xr:uid="{00000000-0006-0000-0100-000012000000}">
      <text>
        <r>
          <rPr>
            <b/>
            <sz val="9"/>
            <rFont val="Tahoma"/>
            <family val="2"/>
          </rPr>
          <t>80123558:</t>
        </r>
        <r>
          <rPr>
            <sz val="9"/>
            <rFont val="Tahoma"/>
            <family val="2"/>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15" authorId="1" shapeId="0" xr:uid="{00000000-0006-0000-0100-000013000000}">
      <text>
        <r>
          <rPr>
            <b/>
            <sz val="9"/>
            <rFont val="Tahoma"/>
            <family val="2"/>
          </rPr>
          <t>80123558:</t>
        </r>
        <r>
          <rPr>
            <sz val="9"/>
            <rFont val="Tahoma"/>
            <family val="2"/>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15" authorId="1" shapeId="0" xr:uid="{00000000-0006-0000-0100-000014000000}">
      <text>
        <r>
          <rPr>
            <b/>
            <sz val="9"/>
            <rFont val="Tahoma"/>
            <family val="2"/>
          </rPr>
          <t>80123558:</t>
        </r>
        <r>
          <rPr>
            <sz val="9"/>
            <rFont val="Tahoma"/>
            <family val="2"/>
          </rPr>
          <t xml:space="preserve">
Devuelve el valor total del consumo asociado a cada variable.</t>
        </r>
      </text>
    </comment>
    <comment ref="T15" authorId="1" shapeId="0" xr:uid="{00000000-0006-0000-0100-000015000000}">
      <text>
        <r>
          <rPr>
            <b/>
            <sz val="9"/>
            <rFont val="Tahoma"/>
            <family val="2"/>
          </rPr>
          <t>80123558:</t>
        </r>
        <r>
          <rPr>
            <sz val="9"/>
            <rFont val="Tahoma"/>
            <family val="2"/>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15" authorId="1" shapeId="0" xr:uid="{00000000-0006-0000-0100-000016000000}">
      <text>
        <r>
          <rPr>
            <b/>
            <sz val="9"/>
            <rFont val="Tahoma"/>
            <family val="2"/>
          </rPr>
          <t>80123558:</t>
        </r>
        <r>
          <rPr>
            <sz val="9"/>
            <rFont val="Tahoma"/>
            <family val="2"/>
          </rPr>
          <t xml:space="preserve">
Devuelve el promedio de los valores consignados en las casillas de "DATOS 1 al 12".</t>
        </r>
      </text>
    </comment>
    <comment ref="V15" authorId="1" shapeId="0" xr:uid="{00000000-0006-0000-0100-000017000000}">
      <text>
        <r>
          <rPr>
            <b/>
            <sz val="9"/>
            <rFont val="Tahoma"/>
            <family val="2"/>
          </rPr>
          <t>80123558:</t>
        </r>
        <r>
          <rPr>
            <sz val="9"/>
            <rFont val="Tahoma"/>
            <family val="2"/>
          </rPr>
          <t xml:space="preserve">
Devuelve la desviación estándar de los valores consignados en las casillas de "DATOS 1 al 12".</t>
        </r>
      </text>
    </comment>
    <comment ref="W15" authorId="1" shapeId="0" xr:uid="{00000000-0006-0000-0100-000018000000}">
      <text>
        <r>
          <rPr>
            <b/>
            <sz val="9"/>
            <rFont val="Tahoma"/>
            <family val="2"/>
          </rPr>
          <t>80123558:</t>
        </r>
        <r>
          <rPr>
            <sz val="9"/>
            <rFont val="Tahoma"/>
            <family val="2"/>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15" authorId="0" shapeId="0" xr:uid="{00000000-0006-0000-0100-000019000000}">
      <text>
        <r>
          <rPr>
            <b/>
            <sz val="9"/>
            <rFont val="Tahoma"/>
            <family val="2"/>
          </rPr>
          <t>80123558:</t>
        </r>
        <r>
          <rPr>
            <sz val="9"/>
            <rFont val="Tahoma"/>
            <family val="2"/>
          </rPr>
          <t xml:space="preserve">
Si lo conoce, indique el valor de incertidumbre asociado a los datos de actividad que está reportando, de lo contrario deje estas casillas sin diligenciar</t>
        </r>
      </text>
    </comment>
    <comment ref="Y15" authorId="1" shapeId="0" xr:uid="{00000000-0006-0000-0100-00001A000000}">
      <text>
        <r>
          <rPr>
            <b/>
            <sz val="9"/>
            <rFont val="Tahoma"/>
            <family val="2"/>
          </rPr>
          <t>80123558:</t>
        </r>
        <r>
          <rPr>
            <sz val="9"/>
            <rFont val="Tahoma"/>
            <family val="2"/>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AF24" authorId="1" shapeId="0" xr:uid="{00000000-0006-0000-0100-00001B000000}">
      <text>
        <r>
          <rPr>
            <b/>
            <sz val="9"/>
            <rFont val="Tahoma"/>
            <family val="2"/>
          </rPr>
          <t>80123558:</t>
        </r>
        <r>
          <rPr>
            <sz val="9"/>
            <rFont val="Tahoma"/>
            <family val="2"/>
          </rPr>
          <t xml:space="preserve">
Devuelve el valor agregado de las incertidumbre para la categoría en referencia.</t>
        </r>
      </text>
    </comment>
    <comment ref="AN24" authorId="1" shapeId="0" xr:uid="{00000000-0006-0000-0100-00001C000000}">
      <text>
        <r>
          <rPr>
            <b/>
            <sz val="9"/>
            <rFont val="Tahoma"/>
            <family val="2"/>
          </rPr>
          <t>80123558:</t>
        </r>
        <r>
          <rPr>
            <sz val="9"/>
            <rFont val="Tahoma"/>
            <family val="2"/>
          </rPr>
          <t xml:space="preserve">
Devuelve el valor agregado de las incertidumbre para la categoría en referencia.</t>
        </r>
      </text>
    </comment>
    <comment ref="AV24" authorId="1" shapeId="0" xr:uid="{00000000-0006-0000-0100-00001D000000}">
      <text>
        <r>
          <rPr>
            <b/>
            <sz val="9"/>
            <rFont val="Tahoma"/>
            <family val="2"/>
          </rPr>
          <t>80123558:</t>
        </r>
        <r>
          <rPr>
            <sz val="9"/>
            <rFont val="Tahoma"/>
            <family val="2"/>
          </rPr>
          <t xml:space="preserve">
Devuelve el valor agregado de las incertidumbre para la categoría en referencia.</t>
        </r>
      </text>
    </comment>
    <comment ref="BC24" authorId="1" shapeId="0" xr:uid="{00000000-0006-0000-0100-00001E000000}">
      <text>
        <r>
          <rPr>
            <b/>
            <sz val="9"/>
            <rFont val="Tahoma"/>
            <family val="2"/>
          </rPr>
          <t>80123558:</t>
        </r>
        <r>
          <rPr>
            <sz val="9"/>
            <rFont val="Tahoma"/>
            <family val="2"/>
          </rPr>
          <t xml:space="preserve">
Devuelve el valor agregado de las incertidumbre para la categoría en referencia.</t>
        </r>
      </text>
    </comment>
    <comment ref="BJ24" authorId="1" shapeId="0" xr:uid="{00000000-0006-0000-0100-00001F000000}">
      <text>
        <r>
          <rPr>
            <b/>
            <sz val="9"/>
            <rFont val="Tahoma"/>
            <family val="2"/>
          </rPr>
          <t>80123558:</t>
        </r>
        <r>
          <rPr>
            <sz val="9"/>
            <rFont val="Tahoma"/>
            <family val="2"/>
          </rPr>
          <t xml:space="preserve">
Devuelve el valor agregado de las incertidumbre para la categoría en referencia.</t>
        </r>
      </text>
    </comment>
    <comment ref="BR24" authorId="1" shapeId="0" xr:uid="{00000000-0006-0000-0100-000020000000}">
      <text>
        <r>
          <rPr>
            <b/>
            <sz val="9"/>
            <rFont val="Tahoma"/>
            <family val="2"/>
          </rPr>
          <t>80123558:</t>
        </r>
        <r>
          <rPr>
            <sz val="9"/>
            <rFont val="Tahoma"/>
            <family val="2"/>
          </rPr>
          <t xml:space="preserve">
Devuelve el valor agregado de las incertidumbre para la categoría en referencia.</t>
        </r>
      </text>
    </comment>
    <comment ref="BY24" authorId="1" shapeId="0" xr:uid="{00000000-0006-0000-0100-000021000000}">
      <text>
        <r>
          <rPr>
            <b/>
            <sz val="9"/>
            <rFont val="Tahoma"/>
            <family val="2"/>
          </rPr>
          <t>80123558:</t>
        </r>
        <r>
          <rPr>
            <sz val="9"/>
            <rFont val="Tahoma"/>
            <family val="2"/>
          </rPr>
          <t xml:space="preserve">
Devuelve el valor agregado de las incertidumbre para la categoría en referencia.</t>
        </r>
      </text>
    </comment>
    <comment ref="CB24" authorId="1" shapeId="0" xr:uid="{00000000-0006-0000-0100-000022000000}">
      <text>
        <r>
          <rPr>
            <b/>
            <sz val="9"/>
            <rFont val="Tahoma"/>
            <family val="2"/>
          </rPr>
          <t>80123558:</t>
        </r>
        <r>
          <rPr>
            <sz val="9"/>
            <rFont val="Tahoma"/>
            <family val="2"/>
          </rPr>
          <t xml:space="preserve">
Devuelve el valor agregado de las incertidumbre para la categoría en referencia.</t>
        </r>
      </text>
    </comment>
    <comment ref="AF29" authorId="1" shapeId="0" xr:uid="{00000000-0006-0000-0100-000023000000}">
      <text>
        <r>
          <rPr>
            <b/>
            <sz val="9"/>
            <rFont val="Tahoma"/>
            <family val="2"/>
          </rPr>
          <t>80123558:</t>
        </r>
        <r>
          <rPr>
            <sz val="9"/>
            <rFont val="Tahoma"/>
            <family val="2"/>
          </rPr>
          <t xml:space="preserve">
Devuelve el valor agregado de las incertidumbre para la categoría en referencia.</t>
        </r>
      </text>
    </comment>
    <comment ref="AN29" authorId="1" shapeId="0" xr:uid="{00000000-0006-0000-0100-000024000000}">
      <text>
        <r>
          <rPr>
            <b/>
            <sz val="9"/>
            <rFont val="Tahoma"/>
            <family val="2"/>
          </rPr>
          <t>80123558:</t>
        </r>
        <r>
          <rPr>
            <sz val="9"/>
            <rFont val="Tahoma"/>
            <family val="2"/>
          </rPr>
          <t xml:space="preserve">
Devuelve el valor agregado de las incertidumbre para la categoría en referencia.</t>
        </r>
      </text>
    </comment>
    <comment ref="AV29" authorId="1" shapeId="0" xr:uid="{00000000-0006-0000-0100-000025000000}">
      <text>
        <r>
          <rPr>
            <b/>
            <sz val="9"/>
            <rFont val="Tahoma"/>
            <family val="2"/>
          </rPr>
          <t>80123558:</t>
        </r>
        <r>
          <rPr>
            <sz val="9"/>
            <rFont val="Tahoma"/>
            <family val="2"/>
          </rPr>
          <t xml:space="preserve">
Devuelve el valor agregado de las incertidumbre para la categoría en referencia.</t>
        </r>
      </text>
    </comment>
    <comment ref="BC29" authorId="1" shapeId="0" xr:uid="{00000000-0006-0000-0100-000026000000}">
      <text>
        <r>
          <rPr>
            <b/>
            <sz val="9"/>
            <rFont val="Tahoma"/>
            <family val="2"/>
          </rPr>
          <t>80123558:</t>
        </r>
        <r>
          <rPr>
            <sz val="9"/>
            <rFont val="Tahoma"/>
            <family val="2"/>
          </rPr>
          <t xml:space="preserve">
Devuelve el valor agregado de las incertidumbre para la categoría en referencia.</t>
        </r>
      </text>
    </comment>
    <comment ref="BJ29" authorId="1" shapeId="0" xr:uid="{00000000-0006-0000-0100-000027000000}">
      <text>
        <r>
          <rPr>
            <b/>
            <sz val="9"/>
            <rFont val="Tahoma"/>
            <family val="2"/>
          </rPr>
          <t>80123558:</t>
        </r>
        <r>
          <rPr>
            <sz val="9"/>
            <rFont val="Tahoma"/>
            <family val="2"/>
          </rPr>
          <t xml:space="preserve">
Devuelve el valor agregado de las incertidumbre para la categoría en referencia.</t>
        </r>
      </text>
    </comment>
    <comment ref="BR29" authorId="1" shapeId="0" xr:uid="{00000000-0006-0000-0100-000028000000}">
      <text>
        <r>
          <rPr>
            <b/>
            <sz val="9"/>
            <rFont val="Tahoma"/>
            <family val="2"/>
          </rPr>
          <t>80123558:</t>
        </r>
        <r>
          <rPr>
            <sz val="9"/>
            <rFont val="Tahoma"/>
            <family val="2"/>
          </rPr>
          <t xml:space="preserve">
Devuelve el valor agregado de las incertidumbre para la categoría en referencia.</t>
        </r>
      </text>
    </comment>
    <comment ref="BY29" authorId="1" shapeId="0" xr:uid="{00000000-0006-0000-0100-000029000000}">
      <text>
        <r>
          <rPr>
            <b/>
            <sz val="9"/>
            <rFont val="Tahoma"/>
            <family val="2"/>
          </rPr>
          <t>80123558:</t>
        </r>
        <r>
          <rPr>
            <sz val="9"/>
            <rFont val="Tahoma"/>
            <family val="2"/>
          </rPr>
          <t xml:space="preserve">
Devuelve el valor agregado de las incertidumbre para la categoría en referencia.</t>
        </r>
      </text>
    </comment>
    <comment ref="CB29" authorId="1" shapeId="0" xr:uid="{00000000-0006-0000-0100-00002A000000}">
      <text>
        <r>
          <rPr>
            <b/>
            <sz val="9"/>
            <rFont val="Tahoma"/>
            <family val="2"/>
          </rPr>
          <t>80123558:</t>
        </r>
        <r>
          <rPr>
            <sz val="9"/>
            <rFont val="Tahoma"/>
            <family val="2"/>
          </rPr>
          <t xml:space="preserve">
Devuelve el valor agregado de las incertidumbre para la categoría en referencia.</t>
        </r>
      </text>
    </comment>
    <comment ref="AF30" authorId="1" shapeId="0" xr:uid="{00000000-0006-0000-0100-00002B000000}">
      <text>
        <r>
          <rPr>
            <b/>
            <sz val="9"/>
            <rFont val="Tahoma"/>
            <family val="2"/>
          </rPr>
          <t>80123558:</t>
        </r>
        <r>
          <rPr>
            <sz val="9"/>
            <rFont val="Tahoma"/>
            <family val="2"/>
          </rPr>
          <t xml:space="preserve">
Devuelve el valor agregado de las incertidumbre para la categoría en referencia.</t>
        </r>
      </text>
    </comment>
    <comment ref="AN30" authorId="1" shapeId="0" xr:uid="{00000000-0006-0000-0100-00002C000000}">
      <text>
        <r>
          <rPr>
            <b/>
            <sz val="9"/>
            <rFont val="Tahoma"/>
            <family val="2"/>
          </rPr>
          <t>80123558:</t>
        </r>
        <r>
          <rPr>
            <sz val="9"/>
            <rFont val="Tahoma"/>
            <family val="2"/>
          </rPr>
          <t xml:space="preserve">
Devuelve el valor agregado de las incertidumbre para la categoría en referencia.</t>
        </r>
      </text>
    </comment>
    <comment ref="AV30" authorId="1" shapeId="0" xr:uid="{00000000-0006-0000-0100-00002D000000}">
      <text>
        <r>
          <rPr>
            <b/>
            <sz val="9"/>
            <rFont val="Tahoma"/>
            <family val="2"/>
          </rPr>
          <t>80123558:</t>
        </r>
        <r>
          <rPr>
            <sz val="9"/>
            <rFont val="Tahoma"/>
            <family val="2"/>
          </rPr>
          <t xml:space="preserve">
Devuelve el valor agregado de las incertidumbre para la categoría en referencia.</t>
        </r>
      </text>
    </comment>
    <comment ref="BC30" authorId="1" shapeId="0" xr:uid="{00000000-0006-0000-0100-00002E000000}">
      <text>
        <r>
          <rPr>
            <b/>
            <sz val="9"/>
            <rFont val="Tahoma"/>
            <family val="2"/>
          </rPr>
          <t>80123558:</t>
        </r>
        <r>
          <rPr>
            <sz val="9"/>
            <rFont val="Tahoma"/>
            <family val="2"/>
          </rPr>
          <t xml:space="preserve">
Devuelve el valor agregado de las incertidumbre para la categoría en referencia.</t>
        </r>
      </text>
    </comment>
    <comment ref="BJ30" authorId="1" shapeId="0" xr:uid="{00000000-0006-0000-0100-00002F000000}">
      <text>
        <r>
          <rPr>
            <b/>
            <sz val="9"/>
            <rFont val="Tahoma"/>
            <family val="2"/>
          </rPr>
          <t>80123558:</t>
        </r>
        <r>
          <rPr>
            <sz val="9"/>
            <rFont val="Tahoma"/>
            <family val="2"/>
          </rPr>
          <t xml:space="preserve">
Devuelve el valor agregado de las incertidumbre para la categoría en referencia.</t>
        </r>
      </text>
    </comment>
    <comment ref="BR30" authorId="1" shapeId="0" xr:uid="{00000000-0006-0000-0100-000030000000}">
      <text>
        <r>
          <rPr>
            <b/>
            <sz val="9"/>
            <rFont val="Tahoma"/>
            <family val="2"/>
          </rPr>
          <t>80123558:</t>
        </r>
        <r>
          <rPr>
            <sz val="9"/>
            <rFont val="Tahoma"/>
            <family val="2"/>
          </rPr>
          <t xml:space="preserve">
Devuelve el valor agregado de las incertidumbre para la categoría en referencia.</t>
        </r>
      </text>
    </comment>
    <comment ref="BY30" authorId="1" shapeId="0" xr:uid="{00000000-0006-0000-0100-000031000000}">
      <text>
        <r>
          <rPr>
            <b/>
            <sz val="9"/>
            <rFont val="Tahoma"/>
            <family val="2"/>
          </rPr>
          <t>80123558:</t>
        </r>
        <r>
          <rPr>
            <sz val="9"/>
            <rFont val="Tahoma"/>
            <family val="2"/>
          </rPr>
          <t xml:space="preserve">
Devuelve el valor agregado de las incertidumbre para la categoría en referencia.</t>
        </r>
      </text>
    </comment>
    <comment ref="CB30" authorId="1" shapeId="0" xr:uid="{00000000-0006-0000-0100-000032000000}">
      <text>
        <r>
          <rPr>
            <b/>
            <sz val="9"/>
            <rFont val="Tahoma"/>
            <family val="2"/>
          </rPr>
          <t>80123558:</t>
        </r>
        <r>
          <rPr>
            <sz val="9"/>
            <rFont val="Tahoma"/>
            <family val="2"/>
          </rPr>
          <t xml:space="preserve">
Devuelve el valor agregado de las incertidumbre para la categoría en referencia.</t>
        </r>
      </text>
    </comment>
    <comment ref="B33" authorId="0" shapeId="0" xr:uid="{00000000-0006-0000-0100-000033000000}">
      <text>
        <r>
          <rPr>
            <b/>
            <sz val="9"/>
            <rFont val="Tahoma"/>
            <family val="2"/>
          </rPr>
          <t>80123558:</t>
        </r>
        <r>
          <rPr>
            <sz val="9"/>
            <rFont val="Tahoma"/>
            <family val="2"/>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33" authorId="0" shapeId="0" xr:uid="{00000000-0006-0000-0100-000034000000}">
      <text>
        <r>
          <rPr>
            <b/>
            <sz val="9"/>
            <rFont val="Tahoma"/>
            <family val="2"/>
          </rPr>
          <t>80123558:</t>
        </r>
        <r>
          <rPr>
            <sz val="9"/>
            <rFont val="Tahoma"/>
            <family val="2"/>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33" authorId="0" shapeId="0" xr:uid="{00000000-0006-0000-0100-000035000000}">
      <text>
        <r>
          <rPr>
            <b/>
            <sz val="9"/>
            <rFont val="Tahoma"/>
            <family val="2"/>
          </rPr>
          <t>80123558:</t>
        </r>
        <r>
          <rPr>
            <sz val="9"/>
            <rFont val="Tahoma"/>
            <family val="2"/>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33" authorId="1" shapeId="0" xr:uid="{00000000-0006-0000-0100-000036000000}">
      <text>
        <r>
          <rPr>
            <b/>
            <sz val="9"/>
            <rFont val="Tahoma"/>
            <family val="2"/>
          </rPr>
          <t>80123558:</t>
        </r>
        <r>
          <rPr>
            <sz val="9"/>
            <rFont val="Tahoma"/>
            <family val="2"/>
          </rPr>
          <t xml:space="preserve">
Despliegue la lista y seleccione la categoría de datos de actividad asociada al consumo en su organización </t>
        </r>
      </text>
    </comment>
    <comment ref="CA33" authorId="1" shapeId="0" xr:uid="{00000000-0006-0000-0100-000037000000}">
      <text>
        <r>
          <rPr>
            <b/>
            <sz val="9"/>
            <rFont val="Tahoma"/>
            <family val="2"/>
          </rPr>
          <t>80123558:</t>
        </r>
        <r>
          <rPr>
            <sz val="9"/>
            <rFont val="Tahoma"/>
            <family val="2"/>
          </rPr>
          <t xml:space="preserve">
Devuelve el valor de las emisiones de GEI asociadas a la variable elegida.</t>
        </r>
      </text>
    </comment>
    <comment ref="CB33" authorId="1" shapeId="0" xr:uid="{00000000-0006-0000-0100-000038000000}">
      <text>
        <r>
          <rPr>
            <b/>
            <sz val="9"/>
            <rFont val="Tahoma"/>
            <family val="2"/>
          </rPr>
          <t>80123558:</t>
        </r>
        <r>
          <rPr>
            <sz val="9"/>
            <rFont val="Tahoma"/>
            <family val="2"/>
          </rPr>
          <t xml:space="preserve">
Devuelve el valor de la incertidumbre estimada, asociada al calculo de las emisiones de GEI de la variable elegida.</t>
        </r>
      </text>
    </comment>
    <comment ref="F34" authorId="1" shapeId="0" xr:uid="{00000000-0006-0000-0100-000039000000}">
      <text>
        <r>
          <rPr>
            <b/>
            <sz val="9"/>
            <rFont val="Tahoma"/>
            <family val="2"/>
          </rPr>
          <t>80123558:</t>
        </r>
        <r>
          <rPr>
            <sz val="9"/>
            <rFont val="Tahoma"/>
            <family val="2"/>
          </rPr>
          <t xml:space="preserve">
Indica la unidad en la que deben ser consignados los datos de consumo asociados a la variable elegida en la columna anterior</t>
        </r>
      </text>
    </comment>
    <comment ref="G34" authorId="1" shapeId="0" xr:uid="{00000000-0006-0000-0100-00003A000000}">
      <text>
        <r>
          <rPr>
            <b/>
            <sz val="9"/>
            <rFont val="Tahoma"/>
            <family val="2"/>
          </rPr>
          <t xml:space="preserve">80123558:
</t>
        </r>
        <r>
          <rPr>
            <sz val="9"/>
            <rFont val="Tahoma"/>
            <family val="2"/>
          </rPr>
          <t>Incluya el valor del primer (o único) dato asociado a la variable correspondiente, en las unidades descritas en la columna "UNIDAD".</t>
        </r>
      </text>
    </comment>
    <comment ref="H34" authorId="1" shapeId="0" xr:uid="{00000000-0006-0000-0100-00003B000000}">
      <text>
        <r>
          <rPr>
            <b/>
            <sz val="9"/>
            <rFont val="Tahoma"/>
            <family val="2"/>
          </rPr>
          <t>80123558:</t>
        </r>
        <r>
          <rPr>
            <sz val="9"/>
            <rFont val="Tahoma"/>
            <family val="2"/>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34" authorId="1" shapeId="0" xr:uid="{00000000-0006-0000-0100-00003C000000}">
      <text>
        <r>
          <rPr>
            <b/>
            <sz val="9"/>
            <rFont val="Tahoma"/>
            <family val="2"/>
          </rPr>
          <t>80123558:</t>
        </r>
        <r>
          <rPr>
            <sz val="9"/>
            <rFont val="Tahoma"/>
            <family val="2"/>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34" authorId="1" shapeId="0" xr:uid="{00000000-0006-0000-0100-00003D000000}">
      <text>
        <r>
          <rPr>
            <b/>
            <sz val="9"/>
            <rFont val="Tahoma"/>
            <family val="2"/>
          </rPr>
          <t>80123558:</t>
        </r>
        <r>
          <rPr>
            <sz val="9"/>
            <rFont val="Tahoma"/>
            <family val="2"/>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34" authorId="1" shapeId="0" xr:uid="{00000000-0006-0000-0100-00003E000000}">
      <text>
        <r>
          <rPr>
            <b/>
            <sz val="9"/>
            <rFont val="Tahoma"/>
            <family val="2"/>
          </rPr>
          <t>80123558:</t>
        </r>
        <r>
          <rPr>
            <sz val="9"/>
            <rFont val="Tahoma"/>
            <family val="2"/>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34" authorId="1" shapeId="0" xr:uid="{00000000-0006-0000-0100-00003F000000}">
      <text>
        <r>
          <rPr>
            <b/>
            <sz val="9"/>
            <rFont val="Tahoma"/>
            <family val="2"/>
          </rPr>
          <t>80123558:</t>
        </r>
        <r>
          <rPr>
            <sz val="9"/>
            <rFont val="Tahoma"/>
            <family val="2"/>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34" authorId="1" shapeId="0" xr:uid="{00000000-0006-0000-0100-000040000000}">
      <text>
        <r>
          <rPr>
            <b/>
            <sz val="9"/>
            <rFont val="Tahoma"/>
            <family val="2"/>
          </rPr>
          <t>80123558:</t>
        </r>
        <r>
          <rPr>
            <sz val="9"/>
            <rFont val="Tahoma"/>
            <family val="2"/>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34" authorId="1" shapeId="0" xr:uid="{00000000-0006-0000-0100-000041000000}">
      <text>
        <r>
          <rPr>
            <b/>
            <sz val="9"/>
            <rFont val="Tahoma"/>
            <family val="2"/>
          </rPr>
          <t>80123558:</t>
        </r>
        <r>
          <rPr>
            <sz val="9"/>
            <rFont val="Tahoma"/>
            <family val="2"/>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34" authorId="1" shapeId="0" xr:uid="{00000000-0006-0000-0100-000042000000}">
      <text>
        <r>
          <rPr>
            <b/>
            <sz val="9"/>
            <rFont val="Tahoma"/>
            <family val="2"/>
          </rPr>
          <t>80123558:</t>
        </r>
        <r>
          <rPr>
            <sz val="9"/>
            <rFont val="Tahoma"/>
            <family val="2"/>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34" authorId="1" shapeId="0" xr:uid="{00000000-0006-0000-0100-000043000000}">
      <text>
        <r>
          <rPr>
            <b/>
            <sz val="9"/>
            <rFont val="Tahoma"/>
            <family val="2"/>
          </rPr>
          <t>80123558:</t>
        </r>
        <r>
          <rPr>
            <sz val="9"/>
            <rFont val="Tahoma"/>
            <family val="2"/>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34" authorId="1" shapeId="0" xr:uid="{00000000-0006-0000-0100-000044000000}">
      <text>
        <r>
          <rPr>
            <b/>
            <sz val="9"/>
            <rFont val="Tahoma"/>
            <family val="2"/>
          </rPr>
          <t>80123558:</t>
        </r>
        <r>
          <rPr>
            <sz val="9"/>
            <rFont val="Tahoma"/>
            <family val="2"/>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34" authorId="1" shapeId="0" xr:uid="{00000000-0006-0000-0100-000045000000}">
      <text>
        <r>
          <rPr>
            <b/>
            <sz val="9"/>
            <rFont val="Tahoma"/>
            <family val="2"/>
          </rPr>
          <t>80123558:</t>
        </r>
        <r>
          <rPr>
            <sz val="9"/>
            <rFont val="Tahoma"/>
            <family val="2"/>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34" authorId="1" shapeId="0" xr:uid="{00000000-0006-0000-0100-000046000000}">
      <text>
        <r>
          <rPr>
            <b/>
            <sz val="9"/>
            <rFont val="Tahoma"/>
            <family val="2"/>
          </rPr>
          <t>80123558:</t>
        </r>
        <r>
          <rPr>
            <sz val="9"/>
            <rFont val="Tahoma"/>
            <family val="2"/>
          </rPr>
          <t xml:space="preserve">
Devuelve el valor total del consumo asociado a cada variable.</t>
        </r>
      </text>
    </comment>
    <comment ref="T34" authorId="1" shapeId="0" xr:uid="{00000000-0006-0000-0100-000047000000}">
      <text>
        <r>
          <rPr>
            <b/>
            <sz val="9"/>
            <rFont val="Tahoma"/>
            <family val="2"/>
          </rPr>
          <t>80123558:</t>
        </r>
        <r>
          <rPr>
            <sz val="9"/>
            <rFont val="Tahoma"/>
            <family val="2"/>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34" authorId="1" shapeId="0" xr:uid="{00000000-0006-0000-0100-000048000000}">
      <text>
        <r>
          <rPr>
            <b/>
            <sz val="9"/>
            <rFont val="Tahoma"/>
            <family val="2"/>
          </rPr>
          <t>80123558:</t>
        </r>
        <r>
          <rPr>
            <sz val="9"/>
            <rFont val="Tahoma"/>
            <family val="2"/>
          </rPr>
          <t xml:space="preserve">
Devuelve el promedio de los valores consignados en las casillas de "DATOS 1 al 12".</t>
        </r>
      </text>
    </comment>
    <comment ref="V34" authorId="1" shapeId="0" xr:uid="{00000000-0006-0000-0100-000049000000}">
      <text>
        <r>
          <rPr>
            <b/>
            <sz val="9"/>
            <rFont val="Tahoma"/>
            <family val="2"/>
          </rPr>
          <t>80123558:</t>
        </r>
        <r>
          <rPr>
            <sz val="9"/>
            <rFont val="Tahoma"/>
            <family val="2"/>
          </rPr>
          <t xml:space="preserve">
Devuelve la desviación estándar de los valores consignados en las casillas de "DATOS 1 al 12".</t>
        </r>
      </text>
    </comment>
    <comment ref="W34" authorId="1" shapeId="0" xr:uid="{00000000-0006-0000-0100-00004A000000}">
      <text>
        <r>
          <rPr>
            <b/>
            <sz val="9"/>
            <rFont val="Tahoma"/>
            <family val="2"/>
          </rPr>
          <t>80123558:</t>
        </r>
        <r>
          <rPr>
            <sz val="9"/>
            <rFont val="Tahoma"/>
            <family val="2"/>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34" authorId="0" shapeId="0" xr:uid="{00000000-0006-0000-0100-00004B000000}">
      <text>
        <r>
          <rPr>
            <b/>
            <sz val="9"/>
            <rFont val="Tahoma"/>
            <family val="2"/>
          </rPr>
          <t>80123558:</t>
        </r>
        <r>
          <rPr>
            <sz val="9"/>
            <rFont val="Tahoma"/>
            <family val="2"/>
          </rPr>
          <t xml:space="preserve">
Si lo conoce, indique el valor de incertidumbre asociado a los datos de actividad que está reportando, de lo contrario deje estas casillas sin diligenciar</t>
        </r>
      </text>
    </comment>
    <comment ref="Y34" authorId="1" shapeId="0" xr:uid="{00000000-0006-0000-0100-00004C000000}">
      <text>
        <r>
          <rPr>
            <b/>
            <sz val="9"/>
            <rFont val="Tahoma"/>
            <family val="2"/>
          </rPr>
          <t>80123558:</t>
        </r>
        <r>
          <rPr>
            <sz val="9"/>
            <rFont val="Tahoma"/>
            <family val="2"/>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B55" authorId="0" shapeId="0" xr:uid="{00000000-0006-0000-0100-00004D000000}">
      <text>
        <r>
          <rPr>
            <b/>
            <sz val="9"/>
            <rFont val="Tahoma"/>
            <family val="2"/>
          </rPr>
          <t>80123558:</t>
        </r>
        <r>
          <rPr>
            <sz val="9"/>
            <rFont val="Tahoma"/>
            <family val="2"/>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55" authorId="0" shapeId="0" xr:uid="{00000000-0006-0000-0100-00004E000000}">
      <text>
        <r>
          <rPr>
            <b/>
            <sz val="9"/>
            <rFont val="Tahoma"/>
            <family val="2"/>
          </rPr>
          <t>80123558:</t>
        </r>
        <r>
          <rPr>
            <sz val="9"/>
            <rFont val="Tahoma"/>
            <family val="2"/>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55" authorId="0" shapeId="0" xr:uid="{00000000-0006-0000-0100-00004F000000}">
      <text>
        <r>
          <rPr>
            <b/>
            <sz val="9"/>
            <rFont val="Tahoma"/>
            <family val="2"/>
          </rPr>
          <t>80123558:</t>
        </r>
        <r>
          <rPr>
            <sz val="9"/>
            <rFont val="Tahoma"/>
            <family val="2"/>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55" authorId="1" shapeId="0" xr:uid="{00000000-0006-0000-0100-000050000000}">
      <text>
        <r>
          <rPr>
            <b/>
            <sz val="9"/>
            <rFont val="Tahoma"/>
            <family val="2"/>
          </rPr>
          <t>80123558:</t>
        </r>
        <r>
          <rPr>
            <sz val="9"/>
            <rFont val="Tahoma"/>
            <family val="2"/>
          </rPr>
          <t xml:space="preserve">
Despliegue la lista y seleccione la categoría de datos de actividad asociada al consumo en su organización </t>
        </r>
      </text>
    </comment>
    <comment ref="CA55" authorId="1" shapeId="0" xr:uid="{00000000-0006-0000-0100-000051000000}">
      <text>
        <r>
          <rPr>
            <b/>
            <sz val="9"/>
            <rFont val="Tahoma"/>
            <family val="2"/>
          </rPr>
          <t>80123558:</t>
        </r>
        <r>
          <rPr>
            <sz val="9"/>
            <rFont val="Tahoma"/>
            <family val="2"/>
          </rPr>
          <t xml:space="preserve">
Devuelve el valor de las emisiones de GEI asociadas a la variable elegida.</t>
        </r>
      </text>
    </comment>
    <comment ref="CB55" authorId="1" shapeId="0" xr:uid="{00000000-0006-0000-0100-000052000000}">
      <text>
        <r>
          <rPr>
            <b/>
            <sz val="9"/>
            <rFont val="Tahoma"/>
            <family val="2"/>
          </rPr>
          <t>80123558:</t>
        </r>
        <r>
          <rPr>
            <sz val="9"/>
            <rFont val="Tahoma"/>
            <family val="2"/>
          </rPr>
          <t xml:space="preserve">
Devuelve el valor de la incertidumbre estimada, asociada al calculo de las emisiones de GEI de la variable elegida.</t>
        </r>
      </text>
    </comment>
    <comment ref="F56" authorId="1" shapeId="0" xr:uid="{00000000-0006-0000-0100-000053000000}">
      <text>
        <r>
          <rPr>
            <b/>
            <sz val="9"/>
            <rFont val="Tahoma"/>
            <family val="2"/>
          </rPr>
          <t>80123558:</t>
        </r>
        <r>
          <rPr>
            <sz val="9"/>
            <rFont val="Tahoma"/>
            <family val="2"/>
          </rPr>
          <t xml:space="preserve">
Indica la unidad en la que deben ser consignados los datos de consumo asociados a la variable elegida en la columna anterior</t>
        </r>
      </text>
    </comment>
    <comment ref="G56" authorId="1" shapeId="0" xr:uid="{00000000-0006-0000-0100-000054000000}">
      <text>
        <r>
          <rPr>
            <b/>
            <sz val="9"/>
            <rFont val="Tahoma"/>
            <family val="2"/>
          </rPr>
          <t xml:space="preserve">80123558:
</t>
        </r>
        <r>
          <rPr>
            <sz val="9"/>
            <rFont val="Tahoma"/>
            <family val="2"/>
          </rPr>
          <t>Incluya el valor del primer (o único) dato asociado a la variable correspondiente, en las unidades descritas en la columna "UNIDAD".</t>
        </r>
      </text>
    </comment>
    <comment ref="H56" authorId="1" shapeId="0" xr:uid="{00000000-0006-0000-0100-000055000000}">
      <text>
        <r>
          <rPr>
            <b/>
            <sz val="9"/>
            <rFont val="Tahoma"/>
            <family val="2"/>
          </rPr>
          <t>80123558:</t>
        </r>
        <r>
          <rPr>
            <sz val="9"/>
            <rFont val="Tahoma"/>
            <family val="2"/>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56" authorId="1" shapeId="0" xr:uid="{00000000-0006-0000-0100-000056000000}">
      <text>
        <r>
          <rPr>
            <b/>
            <sz val="9"/>
            <rFont val="Tahoma"/>
            <family val="2"/>
          </rPr>
          <t>80123558:</t>
        </r>
        <r>
          <rPr>
            <sz val="9"/>
            <rFont val="Tahoma"/>
            <family val="2"/>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56" authorId="1" shapeId="0" xr:uid="{00000000-0006-0000-0100-000057000000}">
      <text>
        <r>
          <rPr>
            <b/>
            <sz val="9"/>
            <rFont val="Tahoma"/>
            <family val="2"/>
          </rPr>
          <t>80123558:</t>
        </r>
        <r>
          <rPr>
            <sz val="9"/>
            <rFont val="Tahoma"/>
            <family val="2"/>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56" authorId="1" shapeId="0" xr:uid="{00000000-0006-0000-0100-000058000000}">
      <text>
        <r>
          <rPr>
            <b/>
            <sz val="9"/>
            <rFont val="Tahoma"/>
            <family val="2"/>
          </rPr>
          <t>80123558:</t>
        </r>
        <r>
          <rPr>
            <sz val="9"/>
            <rFont val="Tahoma"/>
            <family val="2"/>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56" authorId="1" shapeId="0" xr:uid="{00000000-0006-0000-0100-000059000000}">
      <text>
        <r>
          <rPr>
            <b/>
            <sz val="9"/>
            <rFont val="Tahoma"/>
            <family val="2"/>
          </rPr>
          <t>80123558:</t>
        </r>
        <r>
          <rPr>
            <sz val="9"/>
            <rFont val="Tahoma"/>
            <family val="2"/>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56" authorId="1" shapeId="0" xr:uid="{00000000-0006-0000-0100-00005A000000}">
      <text>
        <r>
          <rPr>
            <b/>
            <sz val="9"/>
            <rFont val="Tahoma"/>
            <family val="2"/>
          </rPr>
          <t>80123558:</t>
        </r>
        <r>
          <rPr>
            <sz val="9"/>
            <rFont val="Tahoma"/>
            <family val="2"/>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56" authorId="1" shapeId="0" xr:uid="{00000000-0006-0000-0100-00005B000000}">
      <text>
        <r>
          <rPr>
            <b/>
            <sz val="9"/>
            <rFont val="Tahoma"/>
            <family val="2"/>
          </rPr>
          <t>80123558:</t>
        </r>
        <r>
          <rPr>
            <sz val="9"/>
            <rFont val="Tahoma"/>
            <family val="2"/>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56" authorId="1" shapeId="0" xr:uid="{00000000-0006-0000-0100-00005C000000}">
      <text>
        <r>
          <rPr>
            <b/>
            <sz val="9"/>
            <rFont val="Tahoma"/>
            <family val="2"/>
          </rPr>
          <t>80123558:</t>
        </r>
        <r>
          <rPr>
            <sz val="9"/>
            <rFont val="Tahoma"/>
            <family val="2"/>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56" authorId="1" shapeId="0" xr:uid="{00000000-0006-0000-0100-00005D000000}">
      <text>
        <r>
          <rPr>
            <b/>
            <sz val="9"/>
            <rFont val="Tahoma"/>
            <family val="2"/>
          </rPr>
          <t>80123558:</t>
        </r>
        <r>
          <rPr>
            <sz val="9"/>
            <rFont val="Tahoma"/>
            <family val="2"/>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56" authorId="1" shapeId="0" xr:uid="{00000000-0006-0000-0100-00005E000000}">
      <text>
        <r>
          <rPr>
            <b/>
            <sz val="9"/>
            <rFont val="Tahoma"/>
            <family val="2"/>
          </rPr>
          <t>80123558:</t>
        </r>
        <r>
          <rPr>
            <sz val="9"/>
            <rFont val="Tahoma"/>
            <family val="2"/>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56" authorId="1" shapeId="0" xr:uid="{00000000-0006-0000-0100-00005F000000}">
      <text>
        <r>
          <rPr>
            <b/>
            <sz val="9"/>
            <rFont val="Tahoma"/>
            <family val="2"/>
          </rPr>
          <t>80123558:</t>
        </r>
        <r>
          <rPr>
            <sz val="9"/>
            <rFont val="Tahoma"/>
            <family val="2"/>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56" authorId="1" shapeId="0" xr:uid="{00000000-0006-0000-0100-000060000000}">
      <text>
        <r>
          <rPr>
            <b/>
            <sz val="9"/>
            <rFont val="Tahoma"/>
            <family val="2"/>
          </rPr>
          <t>80123558:</t>
        </r>
        <r>
          <rPr>
            <sz val="9"/>
            <rFont val="Tahoma"/>
            <family val="2"/>
          </rPr>
          <t xml:space="preserve">
Devuelve el valor total del consumo asociado a cada variable.</t>
        </r>
      </text>
    </comment>
    <comment ref="T56" authorId="1" shapeId="0" xr:uid="{00000000-0006-0000-0100-000061000000}">
      <text>
        <r>
          <rPr>
            <b/>
            <sz val="9"/>
            <rFont val="Tahoma"/>
            <family val="2"/>
          </rPr>
          <t>80123558:</t>
        </r>
        <r>
          <rPr>
            <sz val="9"/>
            <rFont val="Tahoma"/>
            <family val="2"/>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56" authorId="1" shapeId="0" xr:uid="{00000000-0006-0000-0100-000062000000}">
      <text>
        <r>
          <rPr>
            <b/>
            <sz val="9"/>
            <rFont val="Tahoma"/>
            <family val="2"/>
          </rPr>
          <t>80123558:</t>
        </r>
        <r>
          <rPr>
            <sz val="9"/>
            <rFont val="Tahoma"/>
            <family val="2"/>
          </rPr>
          <t xml:space="preserve">
Devuelve el promedio de los valores consignados en las casillas de "DATOS 1 al 12".</t>
        </r>
      </text>
    </comment>
    <comment ref="V56" authorId="1" shapeId="0" xr:uid="{00000000-0006-0000-0100-000063000000}">
      <text>
        <r>
          <rPr>
            <b/>
            <sz val="9"/>
            <rFont val="Tahoma"/>
            <family val="2"/>
          </rPr>
          <t>80123558:</t>
        </r>
        <r>
          <rPr>
            <sz val="9"/>
            <rFont val="Tahoma"/>
            <family val="2"/>
          </rPr>
          <t xml:space="preserve">
Devuelve la desviación estándar de los valores consignados en las casillas de "DATOS 1 al 12".</t>
        </r>
      </text>
    </comment>
    <comment ref="W56" authorId="1" shapeId="0" xr:uid="{00000000-0006-0000-0100-000064000000}">
      <text>
        <r>
          <rPr>
            <b/>
            <sz val="9"/>
            <rFont val="Tahoma"/>
            <family val="2"/>
          </rPr>
          <t>80123558:</t>
        </r>
        <r>
          <rPr>
            <sz val="9"/>
            <rFont val="Tahoma"/>
            <family val="2"/>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56" authorId="0" shapeId="0" xr:uid="{00000000-0006-0000-0100-000065000000}">
      <text>
        <r>
          <rPr>
            <b/>
            <sz val="9"/>
            <rFont val="Tahoma"/>
            <family val="2"/>
          </rPr>
          <t>80123558:</t>
        </r>
        <r>
          <rPr>
            <sz val="9"/>
            <rFont val="Tahoma"/>
            <family val="2"/>
          </rPr>
          <t xml:space="preserve">
Si lo conoce, indique el valor de incertidumbre asociado a los datos de actividad que está reportando, de lo contrario deje estas casillas sin diligenciar</t>
        </r>
      </text>
    </comment>
    <comment ref="Y56" authorId="1" shapeId="0" xr:uid="{00000000-0006-0000-0100-000066000000}">
      <text>
        <r>
          <rPr>
            <b/>
            <sz val="9"/>
            <rFont val="Tahoma"/>
            <family val="2"/>
          </rPr>
          <t>80123558:</t>
        </r>
        <r>
          <rPr>
            <sz val="9"/>
            <rFont val="Tahoma"/>
            <family val="2"/>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AF63" authorId="1" shapeId="0" xr:uid="{00000000-0006-0000-0100-000067000000}">
      <text>
        <r>
          <rPr>
            <b/>
            <sz val="9"/>
            <rFont val="Tahoma"/>
            <family val="2"/>
          </rPr>
          <t>80123558:</t>
        </r>
        <r>
          <rPr>
            <sz val="9"/>
            <rFont val="Tahoma"/>
            <family val="2"/>
          </rPr>
          <t xml:space="preserve">
Devuelve el valor agregado de las incertidumbre para la categoría en referencia.</t>
        </r>
      </text>
    </comment>
    <comment ref="AN63" authorId="1" shapeId="0" xr:uid="{00000000-0006-0000-0100-000068000000}">
      <text>
        <r>
          <rPr>
            <b/>
            <sz val="9"/>
            <rFont val="Tahoma"/>
            <family val="2"/>
          </rPr>
          <t>80123558:</t>
        </r>
        <r>
          <rPr>
            <sz val="9"/>
            <rFont val="Tahoma"/>
            <family val="2"/>
          </rPr>
          <t xml:space="preserve">
Devuelve el valor agregado de las incertidumbre para la categoría en referencia.</t>
        </r>
      </text>
    </comment>
    <comment ref="AV63" authorId="1" shapeId="0" xr:uid="{00000000-0006-0000-0100-000069000000}">
      <text>
        <r>
          <rPr>
            <b/>
            <sz val="9"/>
            <rFont val="Tahoma"/>
            <family val="2"/>
          </rPr>
          <t>80123558:</t>
        </r>
        <r>
          <rPr>
            <sz val="9"/>
            <rFont val="Tahoma"/>
            <family val="2"/>
          </rPr>
          <t xml:space="preserve">
Devuelve el valor agregado de las incertidumbre para la categoría en referencia.</t>
        </r>
      </text>
    </comment>
    <comment ref="BC63" authorId="1" shapeId="0" xr:uid="{00000000-0006-0000-0100-00006A000000}">
      <text>
        <r>
          <rPr>
            <b/>
            <sz val="9"/>
            <rFont val="Tahoma"/>
            <family val="2"/>
          </rPr>
          <t>80123558:</t>
        </r>
        <r>
          <rPr>
            <sz val="9"/>
            <rFont val="Tahoma"/>
            <family val="2"/>
          </rPr>
          <t xml:space="preserve">
Devuelve el valor agregado de las incertidumbre para la categoría en referencia.</t>
        </r>
      </text>
    </comment>
    <comment ref="BJ63" authorId="1" shapeId="0" xr:uid="{00000000-0006-0000-0100-00006B000000}">
      <text>
        <r>
          <rPr>
            <b/>
            <sz val="9"/>
            <rFont val="Tahoma"/>
            <family val="2"/>
          </rPr>
          <t>80123558:</t>
        </r>
        <r>
          <rPr>
            <sz val="9"/>
            <rFont val="Tahoma"/>
            <family val="2"/>
          </rPr>
          <t xml:space="preserve">
Devuelve el valor agregado de las incertidumbre para la categoría en referencia.</t>
        </r>
      </text>
    </comment>
    <comment ref="BR63" authorId="1" shapeId="0" xr:uid="{00000000-0006-0000-0100-00006C000000}">
      <text>
        <r>
          <rPr>
            <b/>
            <sz val="9"/>
            <rFont val="Tahoma"/>
            <family val="2"/>
          </rPr>
          <t>80123558:</t>
        </r>
        <r>
          <rPr>
            <sz val="9"/>
            <rFont val="Tahoma"/>
            <family val="2"/>
          </rPr>
          <t xml:space="preserve">
Devuelve el valor agregado de las incertidumbre para la categoría en referencia.</t>
        </r>
      </text>
    </comment>
    <comment ref="BY63" authorId="1" shapeId="0" xr:uid="{00000000-0006-0000-0100-00006D000000}">
      <text>
        <r>
          <rPr>
            <b/>
            <sz val="9"/>
            <rFont val="Tahoma"/>
            <family val="2"/>
          </rPr>
          <t>80123558:</t>
        </r>
        <r>
          <rPr>
            <sz val="9"/>
            <rFont val="Tahoma"/>
            <family val="2"/>
          </rPr>
          <t xml:space="preserve">
Devuelve el valor agregado de las incertidumbre para la categoría en referencia.</t>
        </r>
      </text>
    </comment>
    <comment ref="CB63" authorId="1" shapeId="0" xr:uid="{00000000-0006-0000-0100-00006E000000}">
      <text>
        <r>
          <rPr>
            <b/>
            <sz val="9"/>
            <rFont val="Tahoma"/>
            <family val="2"/>
          </rPr>
          <t>80123558:</t>
        </r>
        <r>
          <rPr>
            <sz val="9"/>
            <rFont val="Tahoma"/>
            <family val="2"/>
          </rPr>
          <t xml:space="preserve">
Devuelve el valor agregado de las incertidumbre para la categoría en referencia.</t>
        </r>
      </text>
    </comment>
    <comment ref="AF68" authorId="1" shapeId="0" xr:uid="{00000000-0006-0000-0100-00006F000000}">
      <text>
        <r>
          <rPr>
            <b/>
            <sz val="9"/>
            <rFont val="Tahoma"/>
            <family val="2"/>
          </rPr>
          <t>80123558:</t>
        </r>
        <r>
          <rPr>
            <sz val="9"/>
            <rFont val="Tahoma"/>
            <family val="2"/>
          </rPr>
          <t xml:space="preserve">
Devuelve el valor agregado de las incertidumbre para la categoría en referencia.</t>
        </r>
      </text>
    </comment>
    <comment ref="AN68" authorId="1" shapeId="0" xr:uid="{00000000-0006-0000-0100-000070000000}">
      <text>
        <r>
          <rPr>
            <b/>
            <sz val="9"/>
            <rFont val="Tahoma"/>
            <family val="2"/>
          </rPr>
          <t>80123558:</t>
        </r>
        <r>
          <rPr>
            <sz val="9"/>
            <rFont val="Tahoma"/>
            <family val="2"/>
          </rPr>
          <t xml:space="preserve">
Devuelve el valor agregado de las incertidumbre para la categoría en referencia.</t>
        </r>
      </text>
    </comment>
    <comment ref="AV68" authorId="1" shapeId="0" xr:uid="{00000000-0006-0000-0100-000071000000}">
      <text>
        <r>
          <rPr>
            <b/>
            <sz val="9"/>
            <rFont val="Tahoma"/>
            <family val="2"/>
          </rPr>
          <t>80123558:</t>
        </r>
        <r>
          <rPr>
            <sz val="9"/>
            <rFont val="Tahoma"/>
            <family val="2"/>
          </rPr>
          <t xml:space="preserve">
Devuelve el valor agregado de las incertidumbre para la categoría en referencia.</t>
        </r>
      </text>
    </comment>
    <comment ref="BC68" authorId="1" shapeId="0" xr:uid="{00000000-0006-0000-0100-000072000000}">
      <text>
        <r>
          <rPr>
            <b/>
            <sz val="9"/>
            <rFont val="Tahoma"/>
            <family val="2"/>
          </rPr>
          <t>80123558:</t>
        </r>
        <r>
          <rPr>
            <sz val="9"/>
            <rFont val="Tahoma"/>
            <family val="2"/>
          </rPr>
          <t xml:space="preserve">
Devuelve el valor agregado de las incertidumbre para la categoría en referencia.</t>
        </r>
      </text>
    </comment>
    <comment ref="BJ68" authorId="1" shapeId="0" xr:uid="{00000000-0006-0000-0100-000073000000}">
      <text>
        <r>
          <rPr>
            <b/>
            <sz val="9"/>
            <rFont val="Tahoma"/>
            <family val="2"/>
          </rPr>
          <t>80123558:</t>
        </r>
        <r>
          <rPr>
            <sz val="9"/>
            <rFont val="Tahoma"/>
            <family val="2"/>
          </rPr>
          <t xml:space="preserve">
Devuelve el valor agregado de las incertidumbre para la categoría en referencia.</t>
        </r>
      </text>
    </comment>
    <comment ref="BR68" authorId="1" shapeId="0" xr:uid="{00000000-0006-0000-0100-000074000000}">
      <text>
        <r>
          <rPr>
            <b/>
            <sz val="9"/>
            <rFont val="Tahoma"/>
            <family val="2"/>
          </rPr>
          <t>80123558:</t>
        </r>
        <r>
          <rPr>
            <sz val="9"/>
            <rFont val="Tahoma"/>
            <family val="2"/>
          </rPr>
          <t xml:space="preserve">
Devuelve el valor agregado de las incertidumbre para la categoría en referencia.</t>
        </r>
      </text>
    </comment>
    <comment ref="BY68" authorId="1" shapeId="0" xr:uid="{00000000-0006-0000-0100-000075000000}">
      <text>
        <r>
          <rPr>
            <b/>
            <sz val="9"/>
            <rFont val="Tahoma"/>
            <family val="2"/>
          </rPr>
          <t>80123558:</t>
        </r>
        <r>
          <rPr>
            <sz val="9"/>
            <rFont val="Tahoma"/>
            <family val="2"/>
          </rPr>
          <t xml:space="preserve">
Devuelve el valor agregado de las incertidumbre para la categoría en referencia.</t>
        </r>
      </text>
    </comment>
    <comment ref="CB68" authorId="1" shapeId="0" xr:uid="{00000000-0006-0000-0100-000076000000}">
      <text>
        <r>
          <rPr>
            <b/>
            <sz val="9"/>
            <rFont val="Tahoma"/>
            <family val="2"/>
          </rPr>
          <t>80123558:</t>
        </r>
        <r>
          <rPr>
            <sz val="9"/>
            <rFont val="Tahoma"/>
            <family val="2"/>
          </rPr>
          <t xml:space="preserve">
Devuelve el valor agregado de las incertidumbre para la categoría en referencia.</t>
        </r>
      </text>
    </comment>
    <comment ref="AF76" authorId="1" shapeId="0" xr:uid="{00000000-0006-0000-0100-000077000000}">
      <text>
        <r>
          <rPr>
            <b/>
            <sz val="9"/>
            <rFont val="Tahoma"/>
            <family val="2"/>
          </rPr>
          <t>80123558:</t>
        </r>
        <r>
          <rPr>
            <sz val="9"/>
            <rFont val="Tahoma"/>
            <family val="2"/>
          </rPr>
          <t xml:space="preserve">
Devuelve el valor agregado de las incertidumbre para la categoría en referencia.</t>
        </r>
      </text>
    </comment>
    <comment ref="AN76" authorId="1" shapeId="0" xr:uid="{00000000-0006-0000-0100-000078000000}">
      <text>
        <r>
          <rPr>
            <b/>
            <sz val="9"/>
            <rFont val="Tahoma"/>
            <family val="2"/>
          </rPr>
          <t>80123558:</t>
        </r>
        <r>
          <rPr>
            <sz val="9"/>
            <rFont val="Tahoma"/>
            <family val="2"/>
          </rPr>
          <t xml:space="preserve">
Devuelve el valor agregado de las incertidumbre para la categoría en referencia.</t>
        </r>
      </text>
    </comment>
    <comment ref="AV76" authorId="1" shapeId="0" xr:uid="{00000000-0006-0000-0100-000079000000}">
      <text>
        <r>
          <rPr>
            <b/>
            <sz val="9"/>
            <rFont val="Tahoma"/>
            <family val="2"/>
          </rPr>
          <t>80123558:</t>
        </r>
        <r>
          <rPr>
            <sz val="9"/>
            <rFont val="Tahoma"/>
            <family val="2"/>
          </rPr>
          <t xml:space="preserve">
Devuelve el valor agregado de las incertidumbre para la categoría en referencia.</t>
        </r>
      </text>
    </comment>
    <comment ref="BC76" authorId="1" shapeId="0" xr:uid="{00000000-0006-0000-0100-00007A000000}">
      <text>
        <r>
          <rPr>
            <b/>
            <sz val="9"/>
            <rFont val="Tahoma"/>
            <family val="2"/>
          </rPr>
          <t>80123558:</t>
        </r>
        <r>
          <rPr>
            <sz val="9"/>
            <rFont val="Tahoma"/>
            <family val="2"/>
          </rPr>
          <t xml:space="preserve">
Devuelve el valor agregado de las incertidumbre para la categoría en referencia.</t>
        </r>
      </text>
    </comment>
    <comment ref="BJ76" authorId="1" shapeId="0" xr:uid="{00000000-0006-0000-0100-00007B000000}">
      <text>
        <r>
          <rPr>
            <b/>
            <sz val="9"/>
            <rFont val="Tahoma"/>
            <family val="2"/>
          </rPr>
          <t>80123558:</t>
        </r>
        <r>
          <rPr>
            <sz val="9"/>
            <rFont val="Tahoma"/>
            <family val="2"/>
          </rPr>
          <t xml:space="preserve">
Devuelve el valor agregado de las incertidumbre para la categoría en referencia.</t>
        </r>
      </text>
    </comment>
    <comment ref="BR76" authorId="1" shapeId="0" xr:uid="{00000000-0006-0000-0100-00007C000000}">
      <text>
        <r>
          <rPr>
            <b/>
            <sz val="9"/>
            <rFont val="Tahoma"/>
            <family val="2"/>
          </rPr>
          <t>80123558:</t>
        </r>
        <r>
          <rPr>
            <sz val="9"/>
            <rFont val="Tahoma"/>
            <family val="2"/>
          </rPr>
          <t xml:space="preserve">
Devuelve el valor agregado de las incertidumbre para la categoría en referencia.</t>
        </r>
      </text>
    </comment>
    <comment ref="BY76" authorId="1" shapeId="0" xr:uid="{00000000-0006-0000-0100-00007D000000}">
      <text>
        <r>
          <rPr>
            <b/>
            <sz val="9"/>
            <rFont val="Tahoma"/>
            <family val="2"/>
          </rPr>
          <t>80123558:</t>
        </r>
        <r>
          <rPr>
            <sz val="9"/>
            <rFont val="Tahoma"/>
            <family val="2"/>
          </rPr>
          <t xml:space="preserve">
Devuelve el valor agregado de las incertidumbre para la categoría en referencia.</t>
        </r>
      </text>
    </comment>
    <comment ref="CB76" authorId="1" shapeId="0" xr:uid="{00000000-0006-0000-0100-00007E000000}">
      <text>
        <r>
          <rPr>
            <b/>
            <sz val="9"/>
            <rFont val="Tahoma"/>
            <family val="2"/>
          </rPr>
          <t>80123558:</t>
        </r>
        <r>
          <rPr>
            <sz val="9"/>
            <rFont val="Tahoma"/>
            <family val="2"/>
          </rPr>
          <t xml:space="preserve">
Devuelve el valor agregado de las incertidumbre para la categoría en referencia.</t>
        </r>
      </text>
    </comment>
    <comment ref="AF77" authorId="1" shapeId="0" xr:uid="{00000000-0006-0000-0100-00007F000000}">
      <text>
        <r>
          <rPr>
            <b/>
            <sz val="9"/>
            <rFont val="Tahoma"/>
            <family val="2"/>
          </rPr>
          <t>80123558:</t>
        </r>
        <r>
          <rPr>
            <sz val="9"/>
            <rFont val="Tahoma"/>
            <family val="2"/>
          </rPr>
          <t xml:space="preserve">
Devuelve el valor agregado de las incertidumbre para la categoría en referencia.</t>
        </r>
      </text>
    </comment>
    <comment ref="AN77" authorId="1" shapeId="0" xr:uid="{00000000-0006-0000-0100-000080000000}">
      <text>
        <r>
          <rPr>
            <b/>
            <sz val="9"/>
            <rFont val="Tahoma"/>
            <family val="2"/>
          </rPr>
          <t>80123558:</t>
        </r>
        <r>
          <rPr>
            <sz val="9"/>
            <rFont val="Tahoma"/>
            <family val="2"/>
          </rPr>
          <t xml:space="preserve">
Devuelve el valor agregado de las incertidumbre para la categoría en referencia.</t>
        </r>
      </text>
    </comment>
    <comment ref="AV77" authorId="1" shapeId="0" xr:uid="{00000000-0006-0000-0100-000081000000}">
      <text>
        <r>
          <rPr>
            <b/>
            <sz val="9"/>
            <rFont val="Tahoma"/>
            <family val="2"/>
          </rPr>
          <t>80123558:</t>
        </r>
        <r>
          <rPr>
            <sz val="9"/>
            <rFont val="Tahoma"/>
            <family val="2"/>
          </rPr>
          <t xml:space="preserve">
Devuelve el valor agregado de las incertidumbre para la categoría en referencia.</t>
        </r>
      </text>
    </comment>
    <comment ref="BC77" authorId="1" shapeId="0" xr:uid="{00000000-0006-0000-0100-000082000000}">
      <text>
        <r>
          <rPr>
            <b/>
            <sz val="9"/>
            <rFont val="Tahoma"/>
            <family val="2"/>
          </rPr>
          <t>80123558:</t>
        </r>
        <r>
          <rPr>
            <sz val="9"/>
            <rFont val="Tahoma"/>
            <family val="2"/>
          </rPr>
          <t xml:space="preserve">
Devuelve el valor agregado de las incertidumbre para la categoría en referencia.</t>
        </r>
      </text>
    </comment>
    <comment ref="BJ77" authorId="1" shapeId="0" xr:uid="{00000000-0006-0000-0100-000083000000}">
      <text>
        <r>
          <rPr>
            <b/>
            <sz val="9"/>
            <rFont val="Tahoma"/>
            <family val="2"/>
          </rPr>
          <t>80123558:</t>
        </r>
        <r>
          <rPr>
            <sz val="9"/>
            <rFont val="Tahoma"/>
            <family val="2"/>
          </rPr>
          <t xml:space="preserve">
Devuelve el valor agregado de las incertidumbre para la categoría en referencia.</t>
        </r>
      </text>
    </comment>
    <comment ref="BR77" authorId="1" shapeId="0" xr:uid="{00000000-0006-0000-0100-000084000000}">
      <text>
        <r>
          <rPr>
            <b/>
            <sz val="9"/>
            <rFont val="Tahoma"/>
            <family val="2"/>
          </rPr>
          <t>80123558:</t>
        </r>
        <r>
          <rPr>
            <sz val="9"/>
            <rFont val="Tahoma"/>
            <family val="2"/>
          </rPr>
          <t xml:space="preserve">
Devuelve el valor agregado de las incertidumbre para la categoría en referencia.</t>
        </r>
      </text>
    </comment>
    <comment ref="BY77" authorId="1" shapeId="0" xr:uid="{00000000-0006-0000-0100-000085000000}">
      <text>
        <r>
          <rPr>
            <b/>
            <sz val="9"/>
            <rFont val="Tahoma"/>
            <family val="2"/>
          </rPr>
          <t>80123558:</t>
        </r>
        <r>
          <rPr>
            <sz val="9"/>
            <rFont val="Tahoma"/>
            <family val="2"/>
          </rPr>
          <t xml:space="preserve">
Devuelve el valor agregado de las incertidumbre para la categoría en referencia.</t>
        </r>
      </text>
    </comment>
    <comment ref="CB77" authorId="1" shapeId="0" xr:uid="{00000000-0006-0000-0100-000086000000}">
      <text>
        <r>
          <rPr>
            <b/>
            <sz val="9"/>
            <rFont val="Tahoma"/>
            <family val="2"/>
          </rPr>
          <t>80123558:</t>
        </r>
        <r>
          <rPr>
            <sz val="9"/>
            <rFont val="Tahoma"/>
            <family val="2"/>
          </rPr>
          <t xml:space="preserve">
Devuelve el valor agregado de las incertidumbre para la categoría en referencia.</t>
        </r>
      </text>
    </comment>
    <comment ref="B80" authorId="0" shapeId="0" xr:uid="{00000000-0006-0000-0100-000087000000}">
      <text>
        <r>
          <rPr>
            <b/>
            <sz val="9"/>
            <rFont val="Tahoma"/>
            <family val="2"/>
          </rPr>
          <t>80123558:</t>
        </r>
        <r>
          <rPr>
            <sz val="9"/>
            <rFont val="Tahoma"/>
            <family val="2"/>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80" authorId="0" shapeId="0" xr:uid="{00000000-0006-0000-0100-000088000000}">
      <text>
        <r>
          <rPr>
            <b/>
            <sz val="9"/>
            <rFont val="Tahoma"/>
            <family val="2"/>
          </rPr>
          <t>80123558:</t>
        </r>
        <r>
          <rPr>
            <sz val="9"/>
            <rFont val="Tahoma"/>
            <family val="2"/>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80" authorId="0" shapeId="0" xr:uid="{00000000-0006-0000-0100-000089000000}">
      <text>
        <r>
          <rPr>
            <b/>
            <sz val="9"/>
            <rFont val="Tahoma"/>
            <family val="2"/>
          </rPr>
          <t>80123558:</t>
        </r>
        <r>
          <rPr>
            <sz val="9"/>
            <rFont val="Tahoma"/>
            <family val="2"/>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80" authorId="1" shapeId="0" xr:uid="{00000000-0006-0000-0100-00008A000000}">
      <text>
        <r>
          <rPr>
            <b/>
            <sz val="9"/>
            <rFont val="Tahoma"/>
            <family val="2"/>
          </rPr>
          <t>80123558:</t>
        </r>
        <r>
          <rPr>
            <sz val="9"/>
            <rFont val="Tahoma"/>
            <family val="2"/>
          </rPr>
          <t xml:space="preserve">
Despliegue la lista y seleccione la categoría de datos de actividad asociada al consumo en su organización </t>
        </r>
      </text>
    </comment>
    <comment ref="CA80" authorId="1" shapeId="0" xr:uid="{00000000-0006-0000-0100-00008B000000}">
      <text>
        <r>
          <rPr>
            <b/>
            <sz val="9"/>
            <rFont val="Tahoma"/>
            <family val="2"/>
          </rPr>
          <t>80123558:</t>
        </r>
        <r>
          <rPr>
            <sz val="9"/>
            <rFont val="Tahoma"/>
            <family val="2"/>
          </rPr>
          <t xml:space="preserve">
Devuelve el valor de las emisiones de GEI asociadas a la variable elegida.</t>
        </r>
      </text>
    </comment>
    <comment ref="CB80" authorId="1" shapeId="0" xr:uid="{00000000-0006-0000-0100-00008C000000}">
      <text>
        <r>
          <rPr>
            <b/>
            <sz val="9"/>
            <rFont val="Tahoma"/>
            <family val="2"/>
          </rPr>
          <t>80123558:</t>
        </r>
        <r>
          <rPr>
            <sz val="9"/>
            <rFont val="Tahoma"/>
            <family val="2"/>
          </rPr>
          <t xml:space="preserve">
Devuelve el valor de la incertidumbre estimada, asociada al calculo de las emisiones de GEI de la variable elegida.</t>
        </r>
      </text>
    </comment>
    <comment ref="F81" authorId="1" shapeId="0" xr:uid="{00000000-0006-0000-0100-00008D000000}">
      <text>
        <r>
          <rPr>
            <b/>
            <sz val="9"/>
            <rFont val="Tahoma"/>
            <family val="2"/>
          </rPr>
          <t>80123558:</t>
        </r>
        <r>
          <rPr>
            <sz val="9"/>
            <rFont val="Tahoma"/>
            <family val="2"/>
          </rPr>
          <t xml:space="preserve">
Indica la unidad en la que deben ser consignados los datos de consumo asociados a la variable elegida en la columna anterior</t>
        </r>
      </text>
    </comment>
    <comment ref="G81" authorId="1" shapeId="0" xr:uid="{00000000-0006-0000-0100-00008E000000}">
      <text>
        <r>
          <rPr>
            <b/>
            <sz val="9"/>
            <rFont val="Tahoma"/>
            <family val="2"/>
          </rPr>
          <t xml:space="preserve">80123558:
</t>
        </r>
        <r>
          <rPr>
            <sz val="9"/>
            <rFont val="Tahoma"/>
            <family val="2"/>
          </rPr>
          <t>Incluya el valor del primer (o único) dato asociado a la variable correspondiente, en las unidades descritas en la columna "UNIDAD".</t>
        </r>
      </text>
    </comment>
    <comment ref="H81" authorId="1" shapeId="0" xr:uid="{00000000-0006-0000-0100-00008F000000}">
      <text>
        <r>
          <rPr>
            <b/>
            <sz val="9"/>
            <rFont val="Tahoma"/>
            <family val="2"/>
          </rPr>
          <t>80123558:</t>
        </r>
        <r>
          <rPr>
            <sz val="9"/>
            <rFont val="Tahoma"/>
            <family val="2"/>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81" authorId="1" shapeId="0" xr:uid="{00000000-0006-0000-0100-000090000000}">
      <text>
        <r>
          <rPr>
            <b/>
            <sz val="9"/>
            <rFont val="Tahoma"/>
            <family val="2"/>
          </rPr>
          <t>80123558:</t>
        </r>
        <r>
          <rPr>
            <sz val="9"/>
            <rFont val="Tahoma"/>
            <family val="2"/>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81" authorId="1" shapeId="0" xr:uid="{00000000-0006-0000-0100-000091000000}">
      <text>
        <r>
          <rPr>
            <b/>
            <sz val="9"/>
            <rFont val="Tahoma"/>
            <family val="2"/>
          </rPr>
          <t>80123558:</t>
        </r>
        <r>
          <rPr>
            <sz val="9"/>
            <rFont val="Tahoma"/>
            <family val="2"/>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81" authorId="1" shapeId="0" xr:uid="{00000000-0006-0000-0100-000092000000}">
      <text>
        <r>
          <rPr>
            <b/>
            <sz val="9"/>
            <rFont val="Tahoma"/>
            <family val="2"/>
          </rPr>
          <t>80123558:</t>
        </r>
        <r>
          <rPr>
            <sz val="9"/>
            <rFont val="Tahoma"/>
            <family val="2"/>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81" authorId="1" shapeId="0" xr:uid="{00000000-0006-0000-0100-000093000000}">
      <text>
        <r>
          <rPr>
            <b/>
            <sz val="9"/>
            <rFont val="Tahoma"/>
            <family val="2"/>
          </rPr>
          <t>80123558:</t>
        </r>
        <r>
          <rPr>
            <sz val="9"/>
            <rFont val="Tahoma"/>
            <family val="2"/>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81" authorId="1" shapeId="0" xr:uid="{00000000-0006-0000-0100-000094000000}">
      <text>
        <r>
          <rPr>
            <b/>
            <sz val="9"/>
            <rFont val="Tahoma"/>
            <family val="2"/>
          </rPr>
          <t>80123558:</t>
        </r>
        <r>
          <rPr>
            <sz val="9"/>
            <rFont val="Tahoma"/>
            <family val="2"/>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81" authorId="1" shapeId="0" xr:uid="{00000000-0006-0000-0100-000095000000}">
      <text>
        <r>
          <rPr>
            <b/>
            <sz val="9"/>
            <rFont val="Tahoma"/>
            <family val="2"/>
          </rPr>
          <t>80123558:</t>
        </r>
        <r>
          <rPr>
            <sz val="9"/>
            <rFont val="Tahoma"/>
            <family val="2"/>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81" authorId="1" shapeId="0" xr:uid="{00000000-0006-0000-0100-000096000000}">
      <text>
        <r>
          <rPr>
            <b/>
            <sz val="9"/>
            <rFont val="Tahoma"/>
            <family val="2"/>
          </rPr>
          <t>80123558:</t>
        </r>
        <r>
          <rPr>
            <sz val="9"/>
            <rFont val="Tahoma"/>
            <family val="2"/>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81" authorId="1" shapeId="0" xr:uid="{00000000-0006-0000-0100-000097000000}">
      <text>
        <r>
          <rPr>
            <b/>
            <sz val="9"/>
            <rFont val="Tahoma"/>
            <family val="2"/>
          </rPr>
          <t>80123558:</t>
        </r>
        <r>
          <rPr>
            <sz val="9"/>
            <rFont val="Tahoma"/>
            <family val="2"/>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81" authorId="1" shapeId="0" xr:uid="{00000000-0006-0000-0100-000098000000}">
      <text>
        <r>
          <rPr>
            <b/>
            <sz val="9"/>
            <rFont val="Tahoma"/>
            <family val="2"/>
          </rPr>
          <t>80123558:</t>
        </r>
        <r>
          <rPr>
            <sz val="9"/>
            <rFont val="Tahoma"/>
            <family val="2"/>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81" authorId="1" shapeId="0" xr:uid="{00000000-0006-0000-0100-000099000000}">
      <text>
        <r>
          <rPr>
            <b/>
            <sz val="9"/>
            <rFont val="Tahoma"/>
            <family val="2"/>
          </rPr>
          <t>80123558:</t>
        </r>
        <r>
          <rPr>
            <sz val="9"/>
            <rFont val="Tahoma"/>
            <family val="2"/>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81" authorId="1" shapeId="0" xr:uid="{00000000-0006-0000-0100-00009A000000}">
      <text>
        <r>
          <rPr>
            <b/>
            <sz val="9"/>
            <rFont val="Tahoma"/>
            <family val="2"/>
          </rPr>
          <t>80123558:</t>
        </r>
        <r>
          <rPr>
            <sz val="9"/>
            <rFont val="Tahoma"/>
            <family val="2"/>
          </rPr>
          <t xml:space="preserve">
Devuelve el valor total del consumo asociado a cada variable.</t>
        </r>
      </text>
    </comment>
    <comment ref="T81" authorId="1" shapeId="0" xr:uid="{00000000-0006-0000-0100-00009B000000}">
      <text>
        <r>
          <rPr>
            <b/>
            <sz val="9"/>
            <rFont val="Tahoma"/>
            <family val="2"/>
          </rPr>
          <t>80123558:</t>
        </r>
        <r>
          <rPr>
            <sz val="9"/>
            <rFont val="Tahoma"/>
            <family val="2"/>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81" authorId="1" shapeId="0" xr:uid="{00000000-0006-0000-0100-00009C000000}">
      <text>
        <r>
          <rPr>
            <b/>
            <sz val="9"/>
            <rFont val="Tahoma"/>
            <family val="2"/>
          </rPr>
          <t>80123558:</t>
        </r>
        <r>
          <rPr>
            <sz val="9"/>
            <rFont val="Tahoma"/>
            <family val="2"/>
          </rPr>
          <t xml:space="preserve">
Devuelve el promedio de los valores consignados en las casillas de "DATOS 1 al 12".</t>
        </r>
      </text>
    </comment>
    <comment ref="V81" authorId="1" shapeId="0" xr:uid="{00000000-0006-0000-0100-00009D000000}">
      <text>
        <r>
          <rPr>
            <b/>
            <sz val="9"/>
            <rFont val="Tahoma"/>
            <family val="2"/>
          </rPr>
          <t>80123558:</t>
        </r>
        <r>
          <rPr>
            <sz val="9"/>
            <rFont val="Tahoma"/>
            <family val="2"/>
          </rPr>
          <t xml:space="preserve">
Devuelve la desviación estándar de los valores consignados en las casillas de "DATOS 1 al 12".</t>
        </r>
      </text>
    </comment>
    <comment ref="W81" authorId="1" shapeId="0" xr:uid="{00000000-0006-0000-0100-00009E000000}">
      <text>
        <r>
          <rPr>
            <b/>
            <sz val="9"/>
            <rFont val="Tahoma"/>
            <family val="2"/>
          </rPr>
          <t>80123558:</t>
        </r>
        <r>
          <rPr>
            <sz val="9"/>
            <rFont val="Tahoma"/>
            <family val="2"/>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81" authorId="0" shapeId="0" xr:uid="{00000000-0006-0000-0100-00009F000000}">
      <text>
        <r>
          <rPr>
            <b/>
            <sz val="9"/>
            <rFont val="Tahoma"/>
            <family val="2"/>
          </rPr>
          <t>80123558:</t>
        </r>
        <r>
          <rPr>
            <sz val="9"/>
            <rFont val="Tahoma"/>
            <family val="2"/>
          </rPr>
          <t xml:space="preserve">
Si lo conoce, indique el valor de incertidumbre asociado a los datos de actividad que está reportando, de lo contrario deje estas casillas sin diligenciar</t>
        </r>
      </text>
    </comment>
    <comment ref="Y81" authorId="1" shapeId="0" xr:uid="{00000000-0006-0000-0100-0000A0000000}">
      <text>
        <r>
          <rPr>
            <b/>
            <sz val="9"/>
            <rFont val="Tahoma"/>
            <family val="2"/>
          </rPr>
          <t>80123558:</t>
        </r>
        <r>
          <rPr>
            <sz val="9"/>
            <rFont val="Tahoma"/>
            <family val="2"/>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B117" authorId="0" shapeId="0" xr:uid="{00000000-0006-0000-0100-0000A1000000}">
      <text>
        <r>
          <rPr>
            <b/>
            <sz val="9"/>
            <rFont val="Tahoma"/>
            <family val="2"/>
          </rPr>
          <t>80123558:</t>
        </r>
        <r>
          <rPr>
            <sz val="9"/>
            <rFont val="Tahoma"/>
            <family val="2"/>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117" authorId="0" shapeId="0" xr:uid="{00000000-0006-0000-0100-0000A2000000}">
      <text>
        <r>
          <rPr>
            <b/>
            <sz val="9"/>
            <rFont val="Tahoma"/>
            <family val="2"/>
          </rPr>
          <t>80123558:</t>
        </r>
        <r>
          <rPr>
            <sz val="9"/>
            <rFont val="Tahoma"/>
            <family val="2"/>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117" authorId="0" shapeId="0" xr:uid="{00000000-0006-0000-0100-0000A3000000}">
      <text>
        <r>
          <rPr>
            <b/>
            <sz val="9"/>
            <rFont val="Tahoma"/>
            <family val="2"/>
          </rPr>
          <t>80123558:</t>
        </r>
        <r>
          <rPr>
            <sz val="9"/>
            <rFont val="Tahoma"/>
            <family val="2"/>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117" authorId="1" shapeId="0" xr:uid="{00000000-0006-0000-0100-0000A4000000}">
      <text>
        <r>
          <rPr>
            <b/>
            <sz val="9"/>
            <rFont val="Tahoma"/>
            <family val="2"/>
          </rPr>
          <t>80123558:</t>
        </r>
        <r>
          <rPr>
            <sz val="9"/>
            <rFont val="Tahoma"/>
            <family val="2"/>
          </rPr>
          <t xml:space="preserve">
Despliegue la lista y seleccione la categoría de datos de actividad asociada al consumo en su organización </t>
        </r>
      </text>
    </comment>
    <comment ref="CA117" authorId="1" shapeId="0" xr:uid="{00000000-0006-0000-0100-0000A5000000}">
      <text>
        <r>
          <rPr>
            <b/>
            <sz val="9"/>
            <rFont val="Tahoma"/>
            <family val="2"/>
          </rPr>
          <t>80123558:</t>
        </r>
        <r>
          <rPr>
            <sz val="9"/>
            <rFont val="Tahoma"/>
            <family val="2"/>
          </rPr>
          <t xml:space="preserve">
Devuelve el valor de las emisiones de GEI asociadas a la variable elegida.</t>
        </r>
      </text>
    </comment>
    <comment ref="CB117" authorId="1" shapeId="0" xr:uid="{00000000-0006-0000-0100-0000A6000000}">
      <text>
        <r>
          <rPr>
            <b/>
            <sz val="9"/>
            <rFont val="Tahoma"/>
            <family val="2"/>
          </rPr>
          <t>80123558:</t>
        </r>
        <r>
          <rPr>
            <sz val="9"/>
            <rFont val="Tahoma"/>
            <family val="2"/>
          </rPr>
          <t xml:space="preserve">
Devuelve el valor de la incertidumbre estimada, asociada al calculo de las emisiones de GEI de la variable elegida.</t>
        </r>
      </text>
    </comment>
    <comment ref="F118" authorId="1" shapeId="0" xr:uid="{00000000-0006-0000-0100-0000A7000000}">
      <text>
        <r>
          <rPr>
            <b/>
            <sz val="9"/>
            <rFont val="Tahoma"/>
            <family val="2"/>
          </rPr>
          <t>80123558:</t>
        </r>
        <r>
          <rPr>
            <sz val="9"/>
            <rFont val="Tahoma"/>
            <family val="2"/>
          </rPr>
          <t xml:space="preserve">
Indica la unidad en la que deben ser consignados los datos de consumo asociados a la variable elegida en la columna anterior</t>
        </r>
      </text>
    </comment>
    <comment ref="G118" authorId="1" shapeId="0" xr:uid="{00000000-0006-0000-0100-0000A8000000}">
      <text>
        <r>
          <rPr>
            <b/>
            <sz val="9"/>
            <rFont val="Tahoma"/>
            <family val="2"/>
          </rPr>
          <t xml:space="preserve">80123558:
</t>
        </r>
        <r>
          <rPr>
            <sz val="9"/>
            <rFont val="Tahoma"/>
            <family val="2"/>
          </rPr>
          <t>Incluya el valor del primer (o único) dato asociado a la variable correspondiente, en las unidades descritas en la columna "UNIDAD".</t>
        </r>
      </text>
    </comment>
    <comment ref="H118" authorId="1" shapeId="0" xr:uid="{00000000-0006-0000-0100-0000A9000000}">
      <text>
        <r>
          <rPr>
            <b/>
            <sz val="9"/>
            <rFont val="Tahoma"/>
            <family val="2"/>
          </rPr>
          <t>80123558:</t>
        </r>
        <r>
          <rPr>
            <sz val="9"/>
            <rFont val="Tahoma"/>
            <family val="2"/>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118" authorId="1" shapeId="0" xr:uid="{00000000-0006-0000-0100-0000AA000000}">
      <text>
        <r>
          <rPr>
            <b/>
            <sz val="9"/>
            <rFont val="Tahoma"/>
            <family val="2"/>
          </rPr>
          <t>80123558:</t>
        </r>
        <r>
          <rPr>
            <sz val="9"/>
            <rFont val="Tahoma"/>
            <family val="2"/>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118" authorId="1" shapeId="0" xr:uid="{00000000-0006-0000-0100-0000AB000000}">
      <text>
        <r>
          <rPr>
            <b/>
            <sz val="9"/>
            <rFont val="Tahoma"/>
            <family val="2"/>
          </rPr>
          <t>80123558:</t>
        </r>
        <r>
          <rPr>
            <sz val="9"/>
            <rFont val="Tahoma"/>
            <family val="2"/>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118" authorId="1" shapeId="0" xr:uid="{00000000-0006-0000-0100-0000AC000000}">
      <text>
        <r>
          <rPr>
            <b/>
            <sz val="9"/>
            <rFont val="Tahoma"/>
            <family val="2"/>
          </rPr>
          <t>80123558:</t>
        </r>
        <r>
          <rPr>
            <sz val="9"/>
            <rFont val="Tahoma"/>
            <family val="2"/>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118" authorId="1" shapeId="0" xr:uid="{00000000-0006-0000-0100-0000AD000000}">
      <text>
        <r>
          <rPr>
            <b/>
            <sz val="9"/>
            <rFont val="Tahoma"/>
            <family val="2"/>
          </rPr>
          <t>80123558:</t>
        </r>
        <r>
          <rPr>
            <sz val="9"/>
            <rFont val="Tahoma"/>
            <family val="2"/>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118" authorId="1" shapeId="0" xr:uid="{00000000-0006-0000-0100-0000AE000000}">
      <text>
        <r>
          <rPr>
            <b/>
            <sz val="9"/>
            <rFont val="Tahoma"/>
            <family val="2"/>
          </rPr>
          <t>80123558:</t>
        </r>
        <r>
          <rPr>
            <sz val="9"/>
            <rFont val="Tahoma"/>
            <family val="2"/>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118" authorId="1" shapeId="0" xr:uid="{00000000-0006-0000-0100-0000AF000000}">
      <text>
        <r>
          <rPr>
            <b/>
            <sz val="9"/>
            <rFont val="Tahoma"/>
            <family val="2"/>
          </rPr>
          <t>80123558:</t>
        </r>
        <r>
          <rPr>
            <sz val="9"/>
            <rFont val="Tahoma"/>
            <family val="2"/>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118" authorId="1" shapeId="0" xr:uid="{00000000-0006-0000-0100-0000B0000000}">
      <text>
        <r>
          <rPr>
            <b/>
            <sz val="9"/>
            <rFont val="Tahoma"/>
            <family val="2"/>
          </rPr>
          <t>80123558:</t>
        </r>
        <r>
          <rPr>
            <sz val="9"/>
            <rFont val="Tahoma"/>
            <family val="2"/>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118" authorId="1" shapeId="0" xr:uid="{00000000-0006-0000-0100-0000B1000000}">
      <text>
        <r>
          <rPr>
            <b/>
            <sz val="9"/>
            <rFont val="Tahoma"/>
            <family val="2"/>
          </rPr>
          <t>80123558:</t>
        </r>
        <r>
          <rPr>
            <sz val="9"/>
            <rFont val="Tahoma"/>
            <family val="2"/>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118" authorId="1" shapeId="0" xr:uid="{00000000-0006-0000-0100-0000B2000000}">
      <text>
        <r>
          <rPr>
            <b/>
            <sz val="9"/>
            <rFont val="Tahoma"/>
            <family val="2"/>
          </rPr>
          <t>80123558:</t>
        </r>
        <r>
          <rPr>
            <sz val="9"/>
            <rFont val="Tahoma"/>
            <family val="2"/>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118" authorId="1" shapeId="0" xr:uid="{00000000-0006-0000-0100-0000B3000000}">
      <text>
        <r>
          <rPr>
            <b/>
            <sz val="9"/>
            <rFont val="Tahoma"/>
            <family val="2"/>
          </rPr>
          <t>80123558:</t>
        </r>
        <r>
          <rPr>
            <sz val="9"/>
            <rFont val="Tahoma"/>
            <family val="2"/>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118" authorId="1" shapeId="0" xr:uid="{00000000-0006-0000-0100-0000B4000000}">
      <text>
        <r>
          <rPr>
            <b/>
            <sz val="9"/>
            <rFont val="Tahoma"/>
            <family val="2"/>
          </rPr>
          <t>80123558:</t>
        </r>
        <r>
          <rPr>
            <sz val="9"/>
            <rFont val="Tahoma"/>
            <family val="2"/>
          </rPr>
          <t xml:space="preserve">
Devuelve el valor total del consumo asociado a cada variable.</t>
        </r>
      </text>
    </comment>
    <comment ref="T118" authorId="1" shapeId="0" xr:uid="{00000000-0006-0000-0100-0000B5000000}">
      <text>
        <r>
          <rPr>
            <b/>
            <sz val="9"/>
            <rFont val="Tahoma"/>
            <family val="2"/>
          </rPr>
          <t>80123558:</t>
        </r>
        <r>
          <rPr>
            <sz val="9"/>
            <rFont val="Tahoma"/>
            <family val="2"/>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118" authorId="1" shapeId="0" xr:uid="{00000000-0006-0000-0100-0000B6000000}">
      <text>
        <r>
          <rPr>
            <b/>
            <sz val="9"/>
            <rFont val="Tahoma"/>
            <family val="2"/>
          </rPr>
          <t>80123558:</t>
        </r>
        <r>
          <rPr>
            <sz val="9"/>
            <rFont val="Tahoma"/>
            <family val="2"/>
          </rPr>
          <t xml:space="preserve">
Devuelve el promedio de los valores consignados en las casillas de "DATOS 1 al 12".</t>
        </r>
      </text>
    </comment>
    <comment ref="V118" authorId="1" shapeId="0" xr:uid="{00000000-0006-0000-0100-0000B7000000}">
      <text>
        <r>
          <rPr>
            <b/>
            <sz val="9"/>
            <rFont val="Tahoma"/>
            <family val="2"/>
          </rPr>
          <t>80123558:</t>
        </r>
        <r>
          <rPr>
            <sz val="9"/>
            <rFont val="Tahoma"/>
            <family val="2"/>
          </rPr>
          <t xml:space="preserve">
Devuelve la desviación estándar de los valores consignados en las casillas de "DATOS 1 al 12".</t>
        </r>
      </text>
    </comment>
    <comment ref="W118" authorId="1" shapeId="0" xr:uid="{00000000-0006-0000-0100-0000B8000000}">
      <text>
        <r>
          <rPr>
            <b/>
            <sz val="9"/>
            <rFont val="Tahoma"/>
            <family val="2"/>
          </rPr>
          <t>80123558:</t>
        </r>
        <r>
          <rPr>
            <sz val="9"/>
            <rFont val="Tahoma"/>
            <family val="2"/>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118" authorId="0" shapeId="0" xr:uid="{00000000-0006-0000-0100-0000B9000000}">
      <text>
        <r>
          <rPr>
            <b/>
            <sz val="9"/>
            <rFont val="Tahoma"/>
            <family val="2"/>
          </rPr>
          <t>80123558:</t>
        </r>
        <r>
          <rPr>
            <sz val="9"/>
            <rFont val="Tahoma"/>
            <family val="2"/>
          </rPr>
          <t xml:space="preserve">
Si lo conoce, indique el valor de incertidumbre asociado a los datos de actividad que está reportando, de lo contrario deje estas casillas sin diligenciar</t>
        </r>
      </text>
    </comment>
    <comment ref="Y118" authorId="1" shapeId="0" xr:uid="{00000000-0006-0000-0100-0000BA000000}">
      <text>
        <r>
          <rPr>
            <b/>
            <sz val="9"/>
            <rFont val="Tahoma"/>
            <family val="2"/>
          </rPr>
          <t>80123558:</t>
        </r>
        <r>
          <rPr>
            <sz val="9"/>
            <rFont val="Tahoma"/>
            <family val="2"/>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CF204" authorId="0" shapeId="0" xr:uid="{00000000-0006-0000-0100-0000BB000000}">
      <text>
        <r>
          <rPr>
            <b/>
            <sz val="9"/>
            <rFont val="Tahoma"/>
            <family val="2"/>
          </rPr>
          <t>LENOVO:</t>
        </r>
        <r>
          <rPr>
            <sz val="9"/>
            <rFont val="Tahoma"/>
            <family val="2"/>
          </rPr>
          <t xml:space="preserve">
FE = Contenido de carbono * factor adu * 44/12
Directrices del IPCC de 2006 para los inventarios nacionales de gases de efecto invernadero. Volumen 3: Procesos industriales y uso de productos. ECUACIÓN 5.2 LUBRICANTES – MÉTODO DE NIVEL 1. Disponible en: https://www.ipcc-nggip.iges.or.jp/public/2006gl/spanish/pdf/3_Volume3/V3_5_Ch5_Non_Energy_Products.pdf</t>
        </r>
      </text>
    </comment>
    <comment ref="CF205" authorId="0" shapeId="0" xr:uid="{00000000-0006-0000-0100-0000BC000000}">
      <text>
        <r>
          <rPr>
            <b/>
            <sz val="9"/>
            <rFont val="Tahoma"/>
            <family val="2"/>
          </rPr>
          <t>LENOVO:</t>
        </r>
        <r>
          <rPr>
            <sz val="9"/>
            <rFont val="Tahoma"/>
            <family val="2"/>
          </rPr>
          <t xml:space="preserve">
FE = Contenido de carbono * factor adu * 44/12
Directrices del IPCC de 2006 para los inventarios nacionales de gases de efecto invernadero. Volumen 3: Procesos industriales y uso de productos. ECUACIÓN 5.2 LUBRICANTES – MÉTODO DE NIVEL 1. Disponible en: https://www.ipcc-nggip.iges.or.jp/public/2006gl/spanish/pdf/3_Volume3/V3_5_Ch5_Non_Energy_Products.pdf</t>
        </r>
      </text>
    </comment>
    <comment ref="CF222" authorId="0" shapeId="0" xr:uid="{00000000-0006-0000-0100-0000BD000000}">
      <text>
        <r>
          <rPr>
            <b/>
            <sz val="9"/>
            <rFont val="Tahoma"/>
            <family val="2"/>
          </rPr>
          <t>LENOVO:</t>
        </r>
        <r>
          <rPr>
            <sz val="9"/>
            <rFont val="Tahoma"/>
            <family val="2"/>
          </rPr>
          <t xml:space="preserve">
IPCC 2019. Corresponde a la sumatoria de las emisiones de minería y postextracción. Se toma el valor mayor para ser conservador. </t>
        </r>
      </text>
    </comment>
    <comment ref="CK222" authorId="0" shapeId="0" xr:uid="{00000000-0006-0000-0100-0000BE000000}">
      <text>
        <r>
          <rPr>
            <b/>
            <sz val="9"/>
            <rFont val="Tahoma"/>
            <family val="2"/>
          </rPr>
          <t>LENOVO:</t>
        </r>
        <r>
          <rPr>
            <sz val="9"/>
            <rFont val="Tahoma"/>
            <family val="2"/>
          </rPr>
          <t xml:space="preserve">
IPCC 2019. Se toma el valor mayor para ser conservador. </t>
        </r>
      </text>
    </comment>
    <comment ref="CP222" authorId="0" shapeId="0" xr:uid="{00000000-0006-0000-0100-0000BF000000}">
      <text>
        <r>
          <rPr>
            <b/>
            <sz val="9"/>
            <rFont val="Tahoma"/>
            <family val="2"/>
          </rPr>
          <t>LENOVO:</t>
        </r>
        <r>
          <rPr>
            <sz val="9"/>
            <rFont val="Tahoma"/>
            <family val="2"/>
          </rPr>
          <t xml:space="preserve">
IPCC 2019. Se toma el valor mayor para ser conservador. </t>
        </r>
      </text>
    </comment>
    <comment ref="CF223" authorId="0" shapeId="0" xr:uid="{00000000-0006-0000-0100-0000C0000000}">
      <text>
        <r>
          <rPr>
            <b/>
            <sz val="9"/>
            <rFont val="Tahoma"/>
            <family val="2"/>
          </rPr>
          <t>LENOVO:</t>
        </r>
        <r>
          <rPr>
            <sz val="9"/>
            <rFont val="Tahoma"/>
            <family val="2"/>
          </rPr>
          <t xml:space="preserve">
IPCC 2019. Corresponde a la sumatoria de las emisiones de minería y postextracción. Se toma el valor mayor para ser conservador. </t>
        </r>
      </text>
    </comment>
    <comment ref="CK223" authorId="0" shapeId="0" xr:uid="{00000000-0006-0000-0100-0000C1000000}">
      <text>
        <r>
          <rPr>
            <b/>
            <sz val="9"/>
            <rFont val="Tahoma"/>
            <family val="2"/>
          </rPr>
          <t>LENOVO:</t>
        </r>
        <r>
          <rPr>
            <sz val="9"/>
            <rFont val="Tahoma"/>
            <family val="2"/>
          </rPr>
          <t xml:space="preserve">
IPCC 2019. Se toma el valor mayor para ser conservador. </t>
        </r>
      </text>
    </comment>
    <comment ref="CP223" authorId="0" shapeId="0" xr:uid="{00000000-0006-0000-0100-0000C2000000}">
      <text>
        <r>
          <rPr>
            <b/>
            <sz val="9"/>
            <rFont val="Tahoma"/>
            <family val="2"/>
          </rPr>
          <t>LENOVO:</t>
        </r>
        <r>
          <rPr>
            <sz val="9"/>
            <rFont val="Tahoma"/>
            <family val="2"/>
          </rPr>
          <t xml:space="preserve">
IPCC 2019. Se toma el valor mayor para ser conservador. </t>
        </r>
      </text>
    </comment>
    <comment ref="CP227" authorId="0" shapeId="0" xr:uid="{00000000-0006-0000-0100-0000C3000000}">
      <text>
        <r>
          <rPr>
            <b/>
            <sz val="9"/>
            <rFont val="Tahoma"/>
            <family val="2"/>
          </rPr>
          <t>LENOVO:</t>
        </r>
        <r>
          <rPr>
            <sz val="9"/>
            <rFont val="Tahoma"/>
            <family val="2"/>
          </rPr>
          <t xml:space="preserve">
IPCC 2019. Se toma el valor mayor para ser conservador. </t>
        </r>
      </text>
    </comment>
    <comment ref="CP228" authorId="0" shapeId="0" xr:uid="{00000000-0006-0000-0100-0000C4000000}">
      <text>
        <r>
          <rPr>
            <b/>
            <sz val="9"/>
            <rFont val="Tahoma"/>
            <family val="2"/>
          </rPr>
          <t>LENOVO:</t>
        </r>
        <r>
          <rPr>
            <sz val="9"/>
            <rFont val="Tahoma"/>
            <family val="2"/>
          </rPr>
          <t xml:space="preserve">
IPCC 2019. Se toma el valor mayor para ser conservador. </t>
        </r>
      </text>
    </comment>
    <comment ref="CK229" authorId="0" shapeId="0" xr:uid="{00000000-0006-0000-0100-0000C5000000}">
      <text>
        <r>
          <rPr>
            <b/>
            <sz val="9"/>
            <rFont val="Tahoma"/>
            <family val="2"/>
          </rPr>
          <t>LENOVO:</t>
        </r>
        <r>
          <rPr>
            <sz val="9"/>
            <rFont val="Tahoma"/>
            <family val="2"/>
          </rPr>
          <t xml:space="preserve">
IPCC 2019. Se toma el valor mayor para ser conservador. </t>
        </r>
      </text>
    </comment>
    <comment ref="CP229" authorId="0" shapeId="0" xr:uid="{00000000-0006-0000-0100-0000C6000000}">
      <text>
        <r>
          <rPr>
            <b/>
            <sz val="9"/>
            <rFont val="Tahoma"/>
            <family val="2"/>
          </rPr>
          <t>LENOVO:</t>
        </r>
        <r>
          <rPr>
            <sz val="9"/>
            <rFont val="Tahoma"/>
            <family val="2"/>
          </rPr>
          <t xml:space="preserve">
IPCC 2019. Se toma el valor mayor para ser conservador. </t>
        </r>
      </text>
    </comment>
    <comment ref="CK230" authorId="0" shapeId="0" xr:uid="{00000000-0006-0000-0100-0000C7000000}">
      <text>
        <r>
          <rPr>
            <b/>
            <sz val="9"/>
            <rFont val="Tahoma"/>
            <family val="2"/>
          </rPr>
          <t>LENOVO:</t>
        </r>
        <r>
          <rPr>
            <sz val="9"/>
            <rFont val="Tahoma"/>
            <family val="2"/>
          </rPr>
          <t xml:space="preserve">
IPCC 2019. Se toma el valor mayor para ser conservador. </t>
        </r>
      </text>
    </comment>
    <comment ref="CP230" authorId="0" shapeId="0" xr:uid="{00000000-0006-0000-0100-0000C8000000}">
      <text>
        <r>
          <rPr>
            <b/>
            <sz val="9"/>
            <rFont val="Tahoma"/>
            <family val="2"/>
          </rPr>
          <t>LENOVO:</t>
        </r>
        <r>
          <rPr>
            <sz val="9"/>
            <rFont val="Tahoma"/>
            <family val="2"/>
          </rPr>
          <t xml:space="preserve">
IPCC 2019. Se toma el valor mayor para ser conservador. </t>
        </r>
      </text>
    </comment>
    <comment ref="CP234" authorId="0" shapeId="0" xr:uid="{00000000-0006-0000-0100-0000C9000000}">
      <text>
        <r>
          <rPr>
            <b/>
            <sz val="9"/>
            <rFont val="Tahoma"/>
            <family val="2"/>
          </rPr>
          <t>LENOVO:</t>
        </r>
        <r>
          <rPr>
            <sz val="9"/>
            <rFont val="Tahoma"/>
            <family val="2"/>
          </rPr>
          <t xml:space="preserve">
IPCC 2019. Se toma el valor mayor para ser conservador. </t>
        </r>
      </text>
    </comment>
    <comment ref="CP235" authorId="0" shapeId="0" xr:uid="{00000000-0006-0000-0100-0000CA000000}">
      <text>
        <r>
          <rPr>
            <b/>
            <sz val="9"/>
            <rFont val="Tahoma"/>
            <family val="2"/>
          </rPr>
          <t>LENOVO:</t>
        </r>
        <r>
          <rPr>
            <sz val="9"/>
            <rFont val="Tahoma"/>
            <family val="2"/>
          </rPr>
          <t xml:space="preserve">
IPCC 2019. Se toma el valor mayor para ser conservador. </t>
        </r>
      </text>
    </comment>
    <comment ref="CP236" authorId="0" shapeId="0" xr:uid="{00000000-0006-0000-0100-0000CB000000}">
      <text>
        <r>
          <rPr>
            <b/>
            <sz val="9"/>
            <rFont val="Tahoma"/>
            <family val="2"/>
          </rPr>
          <t>LENOVO:</t>
        </r>
        <r>
          <rPr>
            <sz val="9"/>
            <rFont val="Tahoma"/>
            <family val="2"/>
          </rPr>
          <t xml:space="preserve">
IPCC 2019. Se toma el valor mayor para ser conservador. </t>
        </r>
      </text>
    </comment>
    <comment ref="CP237" authorId="0" shapeId="0" xr:uid="{00000000-0006-0000-0100-0000CC000000}">
      <text>
        <r>
          <rPr>
            <b/>
            <sz val="9"/>
            <rFont val="Tahoma"/>
            <family val="2"/>
          </rPr>
          <t>LENOVO:</t>
        </r>
        <r>
          <rPr>
            <sz val="9"/>
            <rFont val="Tahoma"/>
            <family val="2"/>
          </rPr>
          <t xml:space="preserve">
IPCC 2019. Se toma el valor mayor para ser conservador. </t>
        </r>
      </text>
    </comment>
    <comment ref="CP238" authorId="0" shapeId="0" xr:uid="{00000000-0006-0000-0100-0000CD000000}">
      <text>
        <r>
          <rPr>
            <b/>
            <sz val="9"/>
            <rFont val="Tahoma"/>
            <family val="2"/>
          </rPr>
          <t>LENOVO:</t>
        </r>
        <r>
          <rPr>
            <sz val="9"/>
            <rFont val="Tahoma"/>
            <family val="2"/>
          </rPr>
          <t xml:space="preserve">
IPCC 2019. Se toma el valor mayor para ser conservador. </t>
        </r>
      </text>
    </comment>
    <comment ref="CP239" authorId="0" shapeId="0" xr:uid="{00000000-0006-0000-0100-0000CE000000}">
      <text>
        <r>
          <rPr>
            <b/>
            <sz val="9"/>
            <rFont val="Tahoma"/>
            <family val="2"/>
          </rPr>
          <t>LENOVO:</t>
        </r>
        <r>
          <rPr>
            <sz val="9"/>
            <rFont val="Tahoma"/>
            <family val="2"/>
          </rPr>
          <t xml:space="preserve">
IPCC 2019. Se toma el valor mayor para ser conservador. </t>
        </r>
      </text>
    </comment>
    <comment ref="CP240" authorId="0" shapeId="0" xr:uid="{00000000-0006-0000-0100-0000CF000000}">
      <text>
        <r>
          <rPr>
            <b/>
            <sz val="9"/>
            <rFont val="Tahoma"/>
            <family val="2"/>
          </rPr>
          <t>LENOVO:</t>
        </r>
        <r>
          <rPr>
            <sz val="9"/>
            <rFont val="Tahoma"/>
            <family val="2"/>
          </rPr>
          <t xml:space="preserve">
IPCC 2019. Se toma el valor mayor para ser conservador. </t>
        </r>
      </text>
    </comment>
    <comment ref="CP241" authorId="0" shapeId="0" xr:uid="{00000000-0006-0000-0100-0000D0000000}">
      <text>
        <r>
          <rPr>
            <b/>
            <sz val="9"/>
            <rFont val="Tahoma"/>
            <family val="2"/>
          </rPr>
          <t>LENOVO:</t>
        </r>
        <r>
          <rPr>
            <sz val="9"/>
            <rFont val="Tahoma"/>
            <family val="2"/>
          </rPr>
          <t xml:space="preserve">
IPCC 2019. Se toma el valor mayor para ser conservador. </t>
        </r>
      </text>
    </comment>
    <comment ref="CF242" authorId="0" shapeId="0" xr:uid="{00000000-0006-0000-0100-0000D1000000}">
      <text>
        <r>
          <rPr>
            <b/>
            <sz val="9"/>
            <rFont val="Tahoma"/>
            <family val="2"/>
          </rPr>
          <t>LENOVO:</t>
        </r>
        <r>
          <rPr>
            <sz val="9"/>
            <rFont val="Tahoma"/>
            <family val="2"/>
          </rPr>
          <t xml:space="preserve">
factor de emisión genérico que puede requerir ajustes de acuerdo al tipo de cultivo, irrigación y abono
IPCC 2019 V4_05_Ch5_Cropland_Num 5.5.2_Table 5.11</t>
        </r>
      </text>
    </comment>
    <comment ref="CF266" authorId="0" shapeId="0" xr:uid="{00000000-0006-0000-0100-0000D2000000}">
      <text>
        <r>
          <rPr>
            <b/>
            <sz val="9"/>
            <rFont val="Tahoma"/>
            <family val="2"/>
          </rPr>
          <t>LENOVO:</t>
        </r>
        <r>
          <rPr>
            <sz val="9"/>
            <rFont val="Tahoma"/>
            <family val="2"/>
          </rPr>
          <t xml:space="preserve">
Se incluye el valor mas conservador, pero este dependerá del tipo de planta de producción existente</t>
        </r>
      </text>
    </comment>
    <comment ref="AO280" authorId="0" shapeId="0" xr:uid="{00000000-0006-0000-0100-0000D3000000}">
      <text>
        <r>
          <rPr>
            <b/>
            <sz val="9"/>
            <rFont val="Tahoma"/>
            <family val="2"/>
          </rPr>
          <t>LENOVO:</t>
        </r>
        <r>
          <rPr>
            <sz val="9"/>
            <rFont val="Tahoma"/>
            <family val="2"/>
          </rPr>
          <t xml:space="preserve">
Fuente: Directrices del IPCC de 2006 para los inventarios nacionales de gases de efecto invernadero Capítulo 2: Datos de generación, composición y gestión de desechos. CUADRO 2.3. DATOS SOBRE COMPOSICIÓN DE LOS DSM - VALORES REGIONALES POR DEFECTO. https://www.ipcc-nggip.iges.or.jp/public/2006gl/spanish/pdf/5_Volume5/V5_2_Ch2_Waste_Data.pdf
Combinado con:
Directrices del IPCC de 2006 para los inventarios nacionales de gases de efecto invernadero Capítulo 2: Datos de generación, composición y gestión de desechos. CUADRO 2.4.  VALORES POR DEFECTO PARA CONTENIDOS DE MATERIA SECA, DOC, TOTAL DE CARBONO Y FRACCIÓN DE CARBONO FÓSIL EN VARIOS COMPONENTES DE DSM
https://www.ipcc-nggip.iges.or.jp/public/2006gl/spanish/pdf/5_Volume5/V5_2_Ch2_Waste_Data.pdf</t>
        </r>
      </text>
    </comment>
    <comment ref="AO281" authorId="0" shapeId="0" xr:uid="{00000000-0006-0000-0100-0000D4000000}">
      <text>
        <r>
          <rPr>
            <b/>
            <sz val="9"/>
            <rFont val="Tahoma"/>
            <family val="2"/>
          </rPr>
          <t>LENOVO:</t>
        </r>
        <r>
          <rPr>
            <sz val="9"/>
            <rFont val="Tahoma"/>
            <family val="2"/>
          </rPr>
          <t xml:space="preserve">
Fuente: http://repositorio.ucm.edu.co:8080/jspui/bitstream/handle/10839/1305/Laura%20Lizeth%20Gomez%20Molina.pdf?sequence=1&amp;isAllowed=y</t>
        </r>
      </text>
    </comment>
    <comment ref="AO282" authorId="0" shapeId="0" xr:uid="{00000000-0006-0000-0100-0000D5000000}">
      <text>
        <r>
          <rPr>
            <b/>
            <sz val="9"/>
            <rFont val="Tahoma"/>
            <family val="2"/>
          </rPr>
          <t>LENOVO:</t>
        </r>
        <r>
          <rPr>
            <sz val="9"/>
            <rFont val="Tahoma"/>
            <family val="2"/>
          </rPr>
          <t xml:space="preserve">
fuente:https://www.researchgate.net/publication/335543674_Quantification_and_Characterization_of_Medical_Waste</t>
        </r>
      </text>
    </comment>
    <comment ref="AO283" authorId="0" shapeId="0" xr:uid="{00000000-0006-0000-0100-0000D6000000}">
      <text>
        <r>
          <rPr>
            <b/>
            <sz val="9"/>
            <rFont val="Tahoma"/>
            <family val="2"/>
          </rPr>
          <t>LENOVO:</t>
        </r>
        <r>
          <rPr>
            <sz val="9"/>
            <rFont val="Tahoma"/>
            <family val="2"/>
          </rPr>
          <t xml:space="preserve">
Fuente: https://dialnet.unirioja.es/servlet/articulo?codigo=6572704</t>
        </r>
      </text>
    </comment>
    <comment ref="AO284" authorId="0" shapeId="0" xr:uid="{00000000-0006-0000-0100-0000D7000000}">
      <text>
        <r>
          <rPr>
            <b/>
            <sz val="9"/>
            <rFont val="Tahoma"/>
            <family val="2"/>
          </rPr>
          <t>LENOVO:</t>
        </r>
        <r>
          <rPr>
            <sz val="9"/>
            <rFont val="Tahoma"/>
            <family val="2"/>
          </rPr>
          <t xml:space="preserve">
El contenido de carbono total de los desechos fósiles líquidos se proporciona en porcentaje de peso húmedo y no en porcentaje de peso en
seco (GIO, 2005). </t>
        </r>
      </text>
    </comment>
    <comment ref="CD332" authorId="0" shapeId="0" xr:uid="{00000000-0006-0000-0100-0000D8000000}">
      <text>
        <r>
          <rPr>
            <b/>
            <sz val="9"/>
            <rFont val="Tahoma"/>
            <family val="2"/>
          </rPr>
          <t>LENOVO:</t>
        </r>
        <r>
          <rPr>
            <sz val="9"/>
            <rFont val="Tahoma"/>
            <family val="2"/>
          </rPr>
          <t xml:space="preserve">
Se pueden usar factores mas específicos en la parte izquierda de la tabla
</t>
        </r>
      </text>
    </comment>
  </commentList>
</comments>
</file>

<file path=xl/sharedStrings.xml><?xml version="1.0" encoding="utf-8"?>
<sst xmlns="http://schemas.openxmlformats.org/spreadsheetml/2006/main" count="2828" uniqueCount="859">
  <si>
    <t>INSTRUCCIONES DE LA HERRAMIENTA DE CÁLCULO DE REDUCE TU HUELLA CORPORATIVO - CARBONO DE LA REPÚBLICA DE PANAMÁ</t>
  </si>
  <si>
    <t>Complete solamente la celdas en blanco.</t>
  </si>
  <si>
    <t>Lea las instrucciones de esta hoja y las que están en los comentarios de los títulos para realizar el reporte.</t>
  </si>
  <si>
    <t>La presente herramienta complementa el Estándar Técnico de Reduce Tu Huella Corporativo - Carbono de la República de Panamá.</t>
  </si>
  <si>
    <t>Una vez se ha consolidado la información que va a ser usada para el calculo del inventario de gases de efecto invernadero en la organización, dichos datos deben ser incluidos en la herramienta de  cálculo, la cual le permitirá además conocer el nivel de incertidumbre asociado al inventario realizado.</t>
  </si>
  <si>
    <t>Con el fin de realizar los cálculos y recibir los reportes de emisiones de GEI realizadas por las organizaciones participantes del programa Reduce Tu Huella Corporativo - Carbono, se desarrolló una herramienta que cumple con los requisitos del GHG Protocol e incluye los siguientes aspectos:</t>
  </si>
  <si>
    <t>DATOS GENERALES</t>
  </si>
  <si>
    <t>Datos Generales</t>
  </si>
  <si>
    <t>Complete los datos generales de la organización a la que se le realiza el calculo de la huella de carbono.</t>
  </si>
  <si>
    <t xml:space="preserve">Se deben llenar los datos asociados a la organización:
- Nombre de la organización. Nombre de la organización que calcula su huella de carbono.
- Nombre del contacto. Nombre del contacto de la organización que calcula su huella de carbono.
- Dirección. Dirección de la organización que calcula su huella de carbono.
- Teléfono del contacto. Teléfono del contacto de la organización que calcula su huella de carbono.
- Correo electrónico del contacto. Correo electrónico del contacto de la organización que calcula su huella de carbono
- Persona que elabora el reporte. Nombre de la persona que completó la herramienta.
- Correo electrónico. Correo electrónico de la persona que completó la herramienta.
- Teléfono. Teléfono de la persona que completó la herramienta.
- Año reportado. Año para el que se realiza el cálculo de la huella de carbono en la herramienta.
</t>
  </si>
  <si>
    <t xml:space="preserve">FUENTE DE EMISIÓN </t>
  </si>
  <si>
    <t>Fuente de Emisión de GEI</t>
  </si>
  <si>
    <t>Identifique la fuente de emisión asociada a los consumos organizacionales en su organización.</t>
  </si>
  <si>
    <t>Se debe identificar cuales de las fuentes de emisión propuestas en la herramienta corresponden a las actividades de la organización.</t>
  </si>
  <si>
    <t>Tipo de Reporte</t>
  </si>
  <si>
    <t>Identifique el tipo de reporte que va a realizar para la fuente determinada.</t>
  </si>
  <si>
    <t>Se debe seleccionar de la lista desplegable si se va a realizar:
1. Un reporte directo de emisiones de GEI (con lo cual no se utilizaría la funcionalidad de cálculo de las emisiones de la herramienta) o,
2. Si se van a reportar datos de actividad (lo que permitiría usar las funcionalidades de cálculo de la herramienta).
De acuerdo con su selección se inhabilitarán las celdas correspondientes al otro tipo de reporte no seleccionado.
En caso de reportar directo emisiones de GEI, debe adjuntar el certificado de verificación de tercera parte.</t>
  </si>
  <si>
    <t>Emisiones de GEI</t>
  </si>
  <si>
    <t>Registrar el valor asociado a las emisiones de GEI.</t>
  </si>
  <si>
    <r>
      <t>Si seleccionó que va a reportar emisiones de GEI directamente, debe registrar en la celda el valor asociado a las emisiones para cada fuente en toneladas de CO</t>
    </r>
    <r>
      <rPr>
        <vertAlign val="subscript"/>
        <sz val="10"/>
        <rFont val="Avenir Next LT Pro"/>
        <family val="2"/>
      </rPr>
      <t>2</t>
    </r>
    <r>
      <rPr>
        <sz val="10"/>
        <rFont val="Avenir Next LT Pro"/>
        <family val="2"/>
      </rPr>
      <t xml:space="preserve"> eq/año. Recuerde que, si opta por esta alternativa, debe adjuntar el certificado de verificación de tercera parte.
Si seleccionó reporte de datos de acticidad, esta celda se deshabilitará para su uso.</t>
    </r>
  </si>
  <si>
    <t>Datos de Actividad</t>
  </si>
  <si>
    <t>Identifique la carga ambiental asociada a la fuente de emisión que corresponda.</t>
  </si>
  <si>
    <t>Se debe seleccionar de la lista desplegable la categoría acorde a la carga ambiental identificada en la organización para poder hacer el reporte de los datos de actividad asociados. 
Si seleccionó reporte de emisiones de GEI, esta celda se deshabilitará para su uso.</t>
  </si>
  <si>
    <t>VALOR DE DATO DE ACTIVIDAD</t>
  </si>
  <si>
    <t>Unidad</t>
  </si>
  <si>
    <t>La herramienta indica la unidad en la que deben ser consignados los datos, según la variable que ha sido elegida en las celdas de fuente de emisión.</t>
  </si>
  <si>
    <t>Esta celda no debe ser modificada.
La unidad dada por la herramienta para cada carga ambiental guarda relación directa con los factores de emisión. 
Si no se cuenta con estas unidades en la información de la Organización, se deben hacer conversiones para ajustar las unidades antes de consignar los datos en la herramienta.</t>
  </si>
  <si>
    <t>Dato 1 al 12</t>
  </si>
  <si>
    <t>Debe consignar los valores cuantitativos asociados a la carga ambiental que ha sido elegida.</t>
  </si>
  <si>
    <t xml:space="preserve">Deben ser incluidos todos los valores cuantitativos asociados al número de datos de actividad con los que cuente la organización en el año de reporte (entre 1 y 12) para estimar las emisiones de cada carga ambiental. 
Los valores deben ser incluidos en las unidades descritas en la celda "Unidad". Si es necesario, se deben hacer conversiones para ajustar las unidades de medida a las indicadas en la celda "Unidad".
De esta forma, si la organización cuenta con un solo dato para el año, deberá completar solamente la celda "DATO 1", pero si cuenta con 12 datos de la variable en el año (tomado en cuenta que puede ser un dato por mes), diligenciará todas las celdas entre "DATO 1" y "DATO 12".
Si la organización cuenta con un numero de datos superior a 12 deberá hacer una agregación de datos de tipo mensual (sumar todos los datos fechados en el mismo mes) y colocar los valores sumados en cada celda entre "DATO 1" y "DATO 12". 
No se deben registrar ceros en las celdas que no sean usadas debido a que la herramienta asumirá el cero como un dato más y se verá afectada la incertidumbre sistémica de los datos del inventario. </t>
  </si>
  <si>
    <t>INCERTIDUMBRE DE LOS DATOS</t>
  </si>
  <si>
    <t>Incertidumbre sistémica de datos</t>
  </si>
  <si>
    <t>Si lo conoce debe consignar el valor de incertidumbre sistémica de los datos de actividad consignados.</t>
  </si>
  <si>
    <t>Por características de metrología de los equipos de medición, la precisión de estos o las condiciones en el manejo de los datos, se puede tener una incertidumbre sistémica de los datos de actividad reportados (ej. Un medidor de gas natural industrial puede tener una incertidumbre entre +/- 0,5% y +/- 5%, dependiendo del nivel de precisión del equipo).
Las incertidumbres correspondientes a los datos de actividad reportadas en esta celda deben ser sustentadas mediante certificados de calibración metrológica de los equipos o mediante el uso de fuentes de información secundaria que permitan comprobar el dato.
Si conoce el valor de la incertidumbre de sus datos debe reportarlo, de lo contrario, deje la celda sin completar.</t>
  </si>
  <si>
    <t>Incertidumbre de los datos</t>
  </si>
  <si>
    <t>Indica el valor de la incertidumbre asociada a los datos de actividad.</t>
  </si>
  <si>
    <t>Esta celda no puede ser modificada.
Si la organización no conoce la incertidumbre sistémica relacionada con sus datos de actividad, la herramienta automáticamente utilizará el porcentaje de incertidumbre por defecto, asociado a los datos de actividad consignados en las casillas "DATO 1 al 12", como se define a continuación:
•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	Si se cuenta con dos o más datos para la estimación de las emisiones de GEI, el resultado corresponde a la metodología propuesta por el IPCC y adoptada por el GHG Protocol, descrita en el documento: "Guía corta para el cálculo de la medición y estimación de la incertidumbre para emisiones de GHG".</t>
  </si>
  <si>
    <t xml:space="preserve">HUELLA DE CARBONO CORPORATIVA </t>
  </si>
  <si>
    <t xml:space="preserve">Huella de Carbono  </t>
  </si>
  <si>
    <t>La herramienta indica el valor de las emisiones asociadas a cada una de las cargas ambientales, los valores totales agregados para cada tipo de fuente y alcance y el valor total de las emisiones de gases de efecto invernadero de la organización.</t>
  </si>
  <si>
    <t>Esta celda no debe ser modificada.</t>
  </si>
  <si>
    <t>INCERTIDUMBRE DE LA FUENTE</t>
  </si>
  <si>
    <t xml:space="preserve">Incertidumbre de la fuente </t>
  </si>
  <si>
    <t>La herramienta indica el valor de la incertidumbre asociada a cada una de las cargas ambientales, los valores totales de incertidumbre agregados para cada tipo de fuente y alcance y el valor total de la incertidumbre del inventario de emisiones de gases de efecto invernadero de la organización.</t>
  </si>
  <si>
    <t>Esta celda no debe ser modificada.
La agregación de las incertidumbres ha sido calculada basándose en la metodología propuesta por   el IPCC y adoptada por el GHG  Protocol, descrita en el documento:  "Guía corta para el calculo de la medición y estimación de la incertidumbre para emisiones de GHG", disponible en : http://www.ghgprotocol.org/files/ghgp/tools/ghg-uncertainty.pdf</t>
  </si>
  <si>
    <t>EJEMPLOS DE POSIBLES FUENTES DE EMISIÓN POR SECTOR:</t>
  </si>
  <si>
    <t xml:space="preserve">Alcance </t>
  </si>
  <si>
    <t>Fuente de emisión</t>
  </si>
  <si>
    <t>GEI Producidos</t>
  </si>
  <si>
    <t>Sector Energía</t>
  </si>
  <si>
    <t>Sector transporte</t>
  </si>
  <si>
    <t>Sector Industria</t>
  </si>
  <si>
    <t>Sector Agropecuario</t>
  </si>
  <si>
    <t>Sector Residuos</t>
  </si>
  <si>
    <t>Sector Comercial</t>
  </si>
  <si>
    <t>Sector Servicios</t>
  </si>
  <si>
    <t>Observaciones</t>
  </si>
  <si>
    <t>Consumo de combustible de fuentes móviles (vehículos usados para la actividad de las organizacións y actividades auxiliares como el mantenimiento).</t>
  </si>
  <si>
    <r>
      <t>CO</t>
    </r>
    <r>
      <rPr>
        <vertAlign val="subscript"/>
        <sz val="10"/>
        <rFont val="Avenir Next LT Pro"/>
        <family val="2"/>
      </rPr>
      <t>2</t>
    </r>
    <r>
      <rPr>
        <sz val="10"/>
        <rFont val="Avenir Next LT Pro"/>
        <family val="2"/>
      </rPr>
      <t>, CH</t>
    </r>
    <r>
      <rPr>
        <vertAlign val="subscript"/>
        <sz val="10"/>
        <rFont val="Avenir Next LT Pro"/>
        <family val="2"/>
      </rPr>
      <t>4</t>
    </r>
    <r>
      <rPr>
        <sz val="10"/>
        <rFont val="Avenir Next LT Pro"/>
        <family val="2"/>
      </rPr>
      <t>, N</t>
    </r>
    <r>
      <rPr>
        <vertAlign val="subscript"/>
        <sz val="10"/>
        <rFont val="Avenir Next LT Pro"/>
        <family val="2"/>
      </rPr>
      <t>2</t>
    </r>
    <r>
      <rPr>
        <sz val="10"/>
        <rFont val="Avenir Next LT Pro"/>
        <family val="2"/>
      </rPr>
      <t>O</t>
    </r>
  </si>
  <si>
    <t>x</t>
  </si>
  <si>
    <t>Perdidas de gases refrigerantes de sistemas de aire acondicionado en fuentes móviles.</t>
  </si>
  <si>
    <t>HFC</t>
  </si>
  <si>
    <t>Uso de lubricantes (aceites y grasas) en fuentes móviles.</t>
  </si>
  <si>
    <r>
      <t>CO</t>
    </r>
    <r>
      <rPr>
        <vertAlign val="subscript"/>
        <sz val="10"/>
        <rFont val="Avenir Next LT Pro"/>
        <family val="2"/>
      </rPr>
      <t>2</t>
    </r>
  </si>
  <si>
    <t>Emisiones de áreas inundadas (para embalses hidroeléctricos o producción).</t>
  </si>
  <si>
    <r>
      <t>CH</t>
    </r>
    <r>
      <rPr>
        <vertAlign val="subscript"/>
        <sz val="10"/>
        <rFont val="Avenir Next LT Pro"/>
        <family val="2"/>
      </rPr>
      <t>4</t>
    </r>
  </si>
  <si>
    <t>Si la organización de energía realiza actividades mineras, se generan emisiones por procesos de minería (especialmente de minería de carbón).</t>
  </si>
  <si>
    <t>Si la organización de energía realiza quemas en TEA de subproductos del proceso de extracción, transporte o refinación de hidrocarburos.</t>
  </si>
  <si>
    <t>Consumo de combustible de fuentes fijas (calderas, turbinas y otros equipos auxiliares).</t>
  </si>
  <si>
    <t>Uso de lubricantes (aceites y grasas) en fuentes fijas.</t>
  </si>
  <si>
    <t>Perdidas de gases refrigerantes de sistemas de aire acondicionado de edificaciones y en sistemas de refrigeración (chillers, neveras, enfriadores de agua, etc).</t>
  </si>
  <si>
    <t>Uso de extintores y agentes de extinción de incendios.</t>
  </si>
  <si>
    <r>
      <t>CO</t>
    </r>
    <r>
      <rPr>
        <vertAlign val="subscript"/>
        <sz val="10"/>
        <rFont val="Avenir Next LT Pro"/>
        <family val="2"/>
      </rPr>
      <t>2</t>
    </r>
    <r>
      <rPr>
        <sz val="10"/>
        <rFont val="Avenir Next LT Pro"/>
        <family val="2"/>
      </rPr>
      <t>, HFC, PFC</t>
    </r>
  </si>
  <si>
    <r>
      <t>Uso de SF</t>
    </r>
    <r>
      <rPr>
        <vertAlign val="subscript"/>
        <sz val="10"/>
        <rFont val="Avenir Next LT Pro"/>
        <family val="2"/>
      </rPr>
      <t>6</t>
    </r>
    <r>
      <rPr>
        <sz val="10"/>
        <rFont val="Avenir Next LT Pro"/>
        <family val="2"/>
      </rPr>
      <t xml:space="preserve"> como aislante dieléctrico en subestaciones.</t>
    </r>
  </si>
  <si>
    <r>
      <t>SF</t>
    </r>
    <r>
      <rPr>
        <vertAlign val="subscript"/>
        <sz val="10"/>
        <rFont val="Avenir Next LT Pro"/>
        <family val="2"/>
      </rPr>
      <t>6</t>
    </r>
  </si>
  <si>
    <t>Uso de fertilizantes en jardines (si aplica).</t>
  </si>
  <si>
    <r>
      <t>N</t>
    </r>
    <r>
      <rPr>
        <vertAlign val="subscript"/>
        <sz val="10"/>
        <rFont val="Avenir Next LT Pro"/>
        <family val="2"/>
      </rPr>
      <t>2</t>
    </r>
    <r>
      <rPr>
        <sz val="10"/>
        <rFont val="Avenir Next LT Pro"/>
        <family val="2"/>
      </rPr>
      <t>O</t>
    </r>
  </si>
  <si>
    <t>Tratamiento de vertimientos en sistemas anaeróbicos (si se realiza al interior de la organización).</t>
  </si>
  <si>
    <t>Tratamiento de residuos sólidos (si se realiza al interior de la organización).  </t>
  </si>
  <si>
    <r>
      <t>CH</t>
    </r>
    <r>
      <rPr>
        <vertAlign val="subscript"/>
        <sz val="10"/>
        <rFont val="Avenir Next LT Pro"/>
        <family val="2"/>
      </rPr>
      <t xml:space="preserve">4 </t>
    </r>
    <r>
      <rPr>
        <sz val="10"/>
        <rFont val="Avenir Next LT Pro"/>
        <family val="2"/>
      </rPr>
      <t>(en rellenos sanitarios)</t>
    </r>
  </si>
  <si>
    <r>
      <t>CO</t>
    </r>
    <r>
      <rPr>
        <vertAlign val="subscript"/>
        <sz val="10"/>
        <rFont val="Avenir Next LT Pro"/>
        <family val="2"/>
      </rPr>
      <t>2</t>
    </r>
    <r>
      <rPr>
        <sz val="10"/>
        <rFont val="Avenir Next LT Pro"/>
        <family val="2"/>
      </rPr>
      <t>, CH</t>
    </r>
    <r>
      <rPr>
        <vertAlign val="subscript"/>
        <sz val="10"/>
        <rFont val="Avenir Next LT Pro"/>
        <family val="2"/>
      </rPr>
      <t>4</t>
    </r>
    <r>
      <rPr>
        <sz val="10"/>
        <rFont val="Avenir Next LT Pro"/>
        <family val="2"/>
      </rPr>
      <t>, N</t>
    </r>
    <r>
      <rPr>
        <vertAlign val="subscript"/>
        <sz val="10"/>
        <rFont val="Avenir Next LT Pro"/>
        <family val="2"/>
      </rPr>
      <t>2</t>
    </r>
    <r>
      <rPr>
        <sz val="10"/>
        <rFont val="Avenir Next LT Pro"/>
        <family val="2"/>
      </rPr>
      <t>O (en incineración)</t>
    </r>
  </si>
  <si>
    <t>Consumo de electricidad en procesos propios y sus pérdidas en el transporte y distribución de la energía.</t>
  </si>
  <si>
    <t>Una vez completada la información relacionada con el reporte de emisiones de GEI, se puede optar por realizar también el reporte de las acciones de mitigación implementadas en el año reportado. Este reporte no es obligatorio, pero en caso de querer hacerlo vaya a la hoja "REDUCCIONES" y siga los pasos que se presentan a continuación:</t>
  </si>
  <si>
    <t xml:space="preserve">Con el fin de recibir los reportes de las acciones de mitigación implementadas por las organizaciones participantes del programa Reduce Tu Huella Corporativo - Carbono, se desarrollo una herramienta que incluye los siguientes aspectos:   </t>
  </si>
  <si>
    <t>Se completará automáticamente con los datos reportados en la Hoja de Emisiones.</t>
  </si>
  <si>
    <t>DESCRIPCIÓN DE LAS ACCIONES DE MITIGACIÓN IMPLEMENTADAS</t>
  </si>
  <si>
    <t>Nombre de la Acción de Mitigación</t>
  </si>
  <si>
    <t>Complete indicando el nombre de la acción de mitigación implementada en el año de reporte.</t>
  </si>
  <si>
    <t>El nombre de la acción es el que se haya puesto a este en el interior de la organización.</t>
  </si>
  <si>
    <t>Fecha de inicio de operaciones (dd/mm/aa)</t>
  </si>
  <si>
    <t xml:space="preserve">Complete indicando la fecha de inicio de operaciones de la acción de mitigación implementada. </t>
  </si>
  <si>
    <t>Fecha de inicio de las operaciones de la acción implementada.</t>
  </si>
  <si>
    <t>Descripción de la Acción de Mitigación</t>
  </si>
  <si>
    <t>Complete describiendo brevemente la acción de mitigación implementada.</t>
  </si>
  <si>
    <t>Indique brevemente en que consiste la acción de mitigación y las principales características técnicas del mismo.</t>
  </si>
  <si>
    <t>Descripción de la información de respaldo y Declaración de Verificación</t>
  </si>
  <si>
    <t>Complete describiendo brevemente la información de respaldo adjuntada y la Declaración de Verificación correspondiente.</t>
  </si>
  <si>
    <t>Indique brevemente en que consiste la información de respaldo de la acción implementada y la Declaración de Verificación correspondiente.</t>
  </si>
  <si>
    <t>Complete en caso de tener observaciones de la acción de mitigación implementada.</t>
  </si>
  <si>
    <t>Indique cualquiera observación que desee compartir sobre la acción de mitigación implementada.</t>
  </si>
  <si>
    <t>DESCRIPCIÓN DE LA REMOCIÓN</t>
  </si>
  <si>
    <t>Descripción de la Remoción</t>
  </si>
  <si>
    <t>Complete describiendo brevemente la remoción.</t>
  </si>
  <si>
    <t>Indique brevemente en que consiste la acción de mitigación y las principales características del mismo.</t>
  </si>
  <si>
    <t>Descripción de la Declaración de Verificación</t>
  </si>
  <si>
    <t>Complete describiendo brevemente la Declaración de Verificación correspondientne.</t>
  </si>
  <si>
    <t>Indique brevemente en que consiste la Declaración de Verificación correspondiente.</t>
  </si>
  <si>
    <t>Remoción realizada</t>
  </si>
  <si>
    <r>
      <t>Complete indicando la cantidad de toneladas de CO</t>
    </r>
    <r>
      <rPr>
        <vertAlign val="subscript"/>
        <sz val="10"/>
        <rFont val="Avenir Next LT Pro"/>
        <family val="2"/>
      </rPr>
      <t>2</t>
    </r>
    <r>
      <rPr>
        <sz val="10"/>
        <rFont val="Avenir Next LT Pro"/>
        <family val="2"/>
      </rPr>
      <t xml:space="preserve"> equivalente removidas.</t>
    </r>
  </si>
  <si>
    <r>
      <t>Corresponde a la cantidad de toneladas de CO</t>
    </r>
    <r>
      <rPr>
        <vertAlign val="subscript"/>
        <sz val="10"/>
        <rFont val="Avenir Next LT Pro"/>
        <family val="2"/>
      </rPr>
      <t>2</t>
    </r>
    <r>
      <rPr>
        <sz val="10"/>
        <rFont val="Avenir Next LT Pro"/>
        <family val="2"/>
      </rPr>
      <t xml:space="preserve"> equivalente que han sido removidas. Si desea llenar esta casilla deberá contar con la debida Declaración de Verificación que valide esta información.</t>
    </r>
  </si>
  <si>
    <t>DESCRIPCIÓN DE LOS PROYECTOS DE COMPENSACIÓN USADOS</t>
  </si>
  <si>
    <t>Nombre del Proyecto de Compensación</t>
  </si>
  <si>
    <t>Complete indicando el nombre del proyecto de compensación.</t>
  </si>
  <si>
    <t>El nombre del proyecto es el que se haya puesto al mismo al interior de la organización que lo desarrolló.</t>
  </si>
  <si>
    <t>Número de serie/identificador</t>
  </si>
  <si>
    <t>Complete indicando el número de serie/identificador del proyecto.</t>
  </si>
  <si>
    <t>Indique el número de serie/identificador correspondiente al proyecto de compensación usado.</t>
  </si>
  <si>
    <t>País</t>
  </si>
  <si>
    <t>Complete indicando el país en donde se desarolló el proyecto.</t>
  </si>
  <si>
    <t>Indique el país en donde se desarrolló el proyecto de compensación usado.</t>
  </si>
  <si>
    <t>Esquema utilizado</t>
  </si>
  <si>
    <t>Complete indicando el esquema de compesación del proyecto.</t>
  </si>
  <si>
    <t>Indique el esquema de compensación utilizado, tomando en cuenta lo descrito en el Capítulo 5 del Estándar Técnico de RTH Corporativo - Carbono.</t>
  </si>
  <si>
    <t>Fecha de inicio de proyecto (dd/mm/aa)</t>
  </si>
  <si>
    <t>Complete indicando la fecha en la que se puso en marcha el proyecto.</t>
  </si>
  <si>
    <t>Dentro de la información que debe ser levantada con respecto al proyecto de compensación usado, debe incluirse este parámetro. Puede relacionarse por ejemplo con la vida útil de una tecnología o con el tiempo en que este capturando carbono un bosque.</t>
  </si>
  <si>
    <t>Vida útil del proyecto</t>
  </si>
  <si>
    <t>Complete indicando el tiempo de vida útil que va tener el proyecto en años.</t>
  </si>
  <si>
    <t>Breve descripción del proyecto</t>
  </si>
  <si>
    <t>Complete describiendo brevemente el proyecto.</t>
  </si>
  <si>
    <t>Indique brevemente en que consiste el proyecto de compensación y las principales características técnicas del mismo.</t>
  </si>
  <si>
    <t>Gases cubiertos por el proyecto</t>
  </si>
  <si>
    <t>Complete indicando los gases de efecto invernadero cubiertos por el proyecto.</t>
  </si>
  <si>
    <t>Indique los gases de efecto invernaderos que son cubiertos por el proyecto de compensación.</t>
  </si>
  <si>
    <t>Inversión realizada (USD)</t>
  </si>
  <si>
    <t>Complete indicando la inversión realizada para realizar compensaciones con el proyecto en mención y en que unidades se reporta.</t>
  </si>
  <si>
    <t xml:space="preserve">Indique el valor económico de la inversión total realizada para realizar compensaciones con el proyecto en mención. </t>
  </si>
  <si>
    <t>Compensación realizada (t CO2 eq)</t>
  </si>
  <si>
    <r>
      <t>Complete indicando la cantidad de toneladas de CO</t>
    </r>
    <r>
      <rPr>
        <vertAlign val="subscript"/>
        <sz val="10"/>
        <rFont val="Avenir Next LT Pro"/>
        <family val="2"/>
      </rPr>
      <t>2</t>
    </r>
    <r>
      <rPr>
        <sz val="10"/>
        <rFont val="Avenir Next LT Pro"/>
        <family val="2"/>
      </rPr>
      <t xml:space="preserve"> equivalente compensadas.</t>
    </r>
  </si>
  <si>
    <r>
      <t>Corresponde a la cantidad de toneladas de CO</t>
    </r>
    <r>
      <rPr>
        <vertAlign val="subscript"/>
        <sz val="10"/>
        <rFont val="Avenir Next LT Pro"/>
        <family val="2"/>
      </rPr>
      <t>2</t>
    </r>
    <r>
      <rPr>
        <sz val="10"/>
        <rFont val="Avenir Next LT Pro"/>
        <family val="2"/>
      </rPr>
      <t xml:space="preserve"> equivalente que han sido compensadas con la inversión realizada.</t>
    </r>
  </si>
  <si>
    <t>Descripción de comprobante de compra y Declaración de Verificación</t>
  </si>
  <si>
    <t>Complete describiendo el comprobante de compra y la Declaración de Verificación correspondiente.</t>
  </si>
  <si>
    <t>Indique brevemente en que consiste el comprobante de compra y la Declaración de Verificación correspondiente.</t>
  </si>
  <si>
    <t xml:space="preserve">                  </t>
  </si>
  <si>
    <t>HERRAMIENTA DE CÁLCULO DE EMISIONES DE GASES DE EFECTO INVERNADERO DE RTH CORPORATIVO - CARBONO</t>
  </si>
  <si>
    <t>DATOS GENERALES  DE LA ORGANIZACIÓN</t>
  </si>
  <si>
    <t>NOMBRE DE LA ORGANIZACIÓN:</t>
  </si>
  <si>
    <t>PERSONA QUE ELABORA EL REPORTE:</t>
  </si>
  <si>
    <t>DIRECCIÓN:</t>
  </si>
  <si>
    <t>CORREO ELECTRÓNICO:</t>
  </si>
  <si>
    <t>NOMBRE DEL CONTACTO:</t>
  </si>
  <si>
    <t>TELÉFONO:</t>
  </si>
  <si>
    <t>TELÉFONO DEL CONTACTO:</t>
  </si>
  <si>
    <t>CORREO ELECTRÓNICO DEL CONTACTO:</t>
  </si>
  <si>
    <t>AÑO REPORTADO:</t>
  </si>
  <si>
    <t>ALCANCE 1</t>
  </si>
  <si>
    <t>FUENTES MÓVILES</t>
  </si>
  <si>
    <t>FUENTE DE EMISIÓN DE GEI
(Seleccione de la lista)</t>
  </si>
  <si>
    <t>TIPO DE REPORTE
(seleccione la opción)</t>
  </si>
  <si>
    <r>
      <t>EMISIONES DE GEI
(Si va a reportar emisiones de GEI registre en la celda el valor asociado a las emisiones para cada fuente en toneladas de CO</t>
    </r>
    <r>
      <rPr>
        <b/>
        <vertAlign val="subscript"/>
        <sz val="11"/>
        <rFont val="Avenir Next LT Pro"/>
        <family val="2"/>
      </rPr>
      <t xml:space="preserve">2 </t>
    </r>
    <r>
      <rPr>
        <b/>
        <sz val="11"/>
        <rFont val="Avenir Next LT Pro"/>
        <family val="2"/>
      </rPr>
      <t>eq/año. Recuerde que si opta por esta alternativa, debe adjuntar el certificado de verificación de tercera parte)</t>
    </r>
  </si>
  <si>
    <t>DATOS DE ACTIVIDAD
(Si va a reportar datos de actividad, seleccione de la lista el dato de actividad que va a reportar)</t>
  </si>
  <si>
    <t xml:space="preserve">VALOR DE DATO DE ACTIVIDAD </t>
  </si>
  <si>
    <t>INCERTIDUMBRE DATOS</t>
  </si>
  <si>
    <r>
      <t>EMISIONES CO</t>
    </r>
    <r>
      <rPr>
        <b/>
        <vertAlign val="subscript"/>
        <sz val="11"/>
        <rFont val="Avenir Next LT Pro"/>
        <family val="2"/>
      </rPr>
      <t>2</t>
    </r>
  </si>
  <si>
    <r>
      <t>EMISIONES CH</t>
    </r>
    <r>
      <rPr>
        <b/>
        <vertAlign val="subscript"/>
        <sz val="11"/>
        <rFont val="Avenir Next LT Pro"/>
        <family val="2"/>
      </rPr>
      <t>4</t>
    </r>
  </si>
  <si>
    <r>
      <t>EMISIONES N</t>
    </r>
    <r>
      <rPr>
        <b/>
        <vertAlign val="subscript"/>
        <sz val="11"/>
        <rFont val="Avenir Next LT Pro"/>
        <family val="2"/>
      </rPr>
      <t>2</t>
    </r>
    <r>
      <rPr>
        <b/>
        <sz val="11"/>
        <rFont val="Avenir Next LT Pro"/>
        <family val="2"/>
      </rPr>
      <t>O</t>
    </r>
  </si>
  <si>
    <t>EMISIONES HFC</t>
  </si>
  <si>
    <t>EMISIONES PFC</t>
  </si>
  <si>
    <r>
      <t>EMISIONES SF</t>
    </r>
    <r>
      <rPr>
        <b/>
        <vertAlign val="subscript"/>
        <sz val="11"/>
        <rFont val="Avenir Next LT Pro"/>
        <family val="2"/>
      </rPr>
      <t>6</t>
    </r>
  </si>
  <si>
    <t>EMISIONES CO2 BIOGÉNICO</t>
  </si>
  <si>
    <r>
      <t>HUELLA DE CARBONO
(t CO</t>
    </r>
    <r>
      <rPr>
        <b/>
        <vertAlign val="subscript"/>
        <sz val="11"/>
        <rFont val="Avenir Next LT Pro"/>
        <family val="2"/>
      </rPr>
      <t xml:space="preserve">2 </t>
    </r>
    <r>
      <rPr>
        <b/>
        <sz val="11"/>
        <rFont val="Avenir Next LT Pro"/>
        <family val="2"/>
      </rPr>
      <t>eq)</t>
    </r>
  </si>
  <si>
    <t>UNIDAD</t>
  </si>
  <si>
    <t>DATO 1</t>
  </si>
  <si>
    <t>DATO 2</t>
  </si>
  <si>
    <t>DATO 3</t>
  </si>
  <si>
    <t>DATO 4</t>
  </si>
  <si>
    <t>DATO 5</t>
  </si>
  <si>
    <t>DATO 6</t>
  </si>
  <si>
    <t>DATO 7</t>
  </si>
  <si>
    <t>DATO 8</t>
  </si>
  <si>
    <t>DATO 9</t>
  </si>
  <si>
    <t>DATO 10</t>
  </si>
  <si>
    <t>DATO 11</t>
  </si>
  <si>
    <t>DATO 12</t>
  </si>
  <si>
    <t>TOTAL</t>
  </si>
  <si>
    <t>No. DATOS</t>
  </si>
  <si>
    <t>PROMEDIO</t>
  </si>
  <si>
    <t>DESVIACION ESTÁNDAR</t>
  </si>
  <si>
    <t>FACTOR T</t>
  </si>
  <si>
    <t>INCERTIDUMBRE SISTEMATICA DATOS</t>
  </si>
  <si>
    <r>
      <t>FACTOR DE EMISIÓN CO</t>
    </r>
    <r>
      <rPr>
        <b/>
        <vertAlign val="subscript"/>
        <sz val="11"/>
        <rFont val="Avenir Next LT Pro"/>
        <family val="2"/>
      </rPr>
      <t>2</t>
    </r>
    <r>
      <rPr>
        <b/>
        <sz val="11"/>
        <rFont val="Avenir Next LT Pro"/>
        <family val="2"/>
      </rPr>
      <t>eq</t>
    </r>
  </si>
  <si>
    <t>FUENTE BIBLIOGRÁFICA</t>
  </si>
  <si>
    <r>
      <t>INCERTIDUMBRE FACTOR EMISIÓN CO</t>
    </r>
    <r>
      <rPr>
        <b/>
        <vertAlign val="subscript"/>
        <sz val="11"/>
        <rFont val="Avenir Next LT Pro"/>
        <family val="2"/>
      </rPr>
      <t>2</t>
    </r>
    <r>
      <rPr>
        <b/>
        <sz val="11"/>
        <rFont val="Avenir Next LT Pro"/>
        <family val="2"/>
      </rPr>
      <t>eq</t>
    </r>
  </si>
  <si>
    <r>
      <t>EMISIONES CO</t>
    </r>
    <r>
      <rPr>
        <b/>
        <vertAlign val="subscript"/>
        <sz val="11"/>
        <rFont val="Avenir Next LT Pro"/>
        <family val="2"/>
      </rPr>
      <t>2</t>
    </r>
    <r>
      <rPr>
        <b/>
        <sz val="11"/>
        <rFont val="Avenir Next LT Pro"/>
        <family val="2"/>
      </rPr>
      <t>eq (tCO</t>
    </r>
    <r>
      <rPr>
        <b/>
        <vertAlign val="subscript"/>
        <sz val="11"/>
        <rFont val="Avenir Next LT Pro"/>
        <family val="2"/>
      </rPr>
      <t>2</t>
    </r>
    <r>
      <rPr>
        <b/>
        <sz val="11"/>
        <rFont val="Avenir Next LT Pro"/>
        <family val="2"/>
      </rPr>
      <t>eq)</t>
    </r>
  </si>
  <si>
    <r>
      <t>INCERTIDUMBRE EMISIONES CO</t>
    </r>
    <r>
      <rPr>
        <b/>
        <vertAlign val="subscript"/>
        <sz val="10"/>
        <rFont val="Avenir Next LT Pro"/>
        <family val="2"/>
      </rPr>
      <t>2</t>
    </r>
    <r>
      <rPr>
        <b/>
        <sz val="10"/>
        <rFont val="Avenir Next LT Pro"/>
        <family val="2"/>
      </rPr>
      <t>eq</t>
    </r>
  </si>
  <si>
    <t xml:space="preserve">Columna Auxiliar </t>
  </si>
  <si>
    <r>
      <t>FACTOR DE EMISIÓN CH</t>
    </r>
    <r>
      <rPr>
        <b/>
        <vertAlign val="subscript"/>
        <sz val="11"/>
        <rFont val="Avenir Next LT Pro"/>
        <family val="2"/>
      </rPr>
      <t>4</t>
    </r>
  </si>
  <si>
    <r>
      <t>INCERTIDUMBRE FACTOR EMISIÓN CH</t>
    </r>
    <r>
      <rPr>
        <b/>
        <vertAlign val="subscript"/>
        <sz val="10"/>
        <rFont val="Avenir Next LT Pro"/>
        <family val="2"/>
      </rPr>
      <t>4</t>
    </r>
  </si>
  <si>
    <r>
      <t>EMISIONES CH</t>
    </r>
    <r>
      <rPr>
        <b/>
        <vertAlign val="subscript"/>
        <sz val="11"/>
        <rFont val="Avenir Next LT Pro"/>
        <family val="2"/>
      </rPr>
      <t>4</t>
    </r>
    <r>
      <rPr>
        <b/>
        <sz val="11"/>
        <rFont val="Avenir Next LT Pro"/>
        <family val="2"/>
      </rPr>
      <t xml:space="preserve"> (tCH</t>
    </r>
    <r>
      <rPr>
        <b/>
        <vertAlign val="subscript"/>
        <sz val="11"/>
        <rFont val="Avenir Next LT Pro"/>
        <family val="2"/>
      </rPr>
      <t>4</t>
    </r>
    <r>
      <rPr>
        <b/>
        <sz val="11"/>
        <rFont val="Avenir Next LT Pro"/>
        <family val="2"/>
      </rPr>
      <t>)</t>
    </r>
  </si>
  <si>
    <r>
      <t>EMISIONES CH</t>
    </r>
    <r>
      <rPr>
        <b/>
        <vertAlign val="subscript"/>
        <sz val="11"/>
        <rFont val="Avenir Next LT Pro"/>
        <family val="2"/>
      </rPr>
      <t>4</t>
    </r>
    <r>
      <rPr>
        <b/>
        <sz val="11"/>
        <rFont val="Avenir Next LT Pro"/>
        <family val="2"/>
      </rPr>
      <t xml:space="preserve"> (tCO</t>
    </r>
    <r>
      <rPr>
        <b/>
        <vertAlign val="subscript"/>
        <sz val="11"/>
        <rFont val="Avenir Next LT Pro"/>
        <family val="2"/>
      </rPr>
      <t>2</t>
    </r>
    <r>
      <rPr>
        <b/>
        <sz val="11"/>
        <rFont val="Avenir Next LT Pro"/>
        <family val="2"/>
      </rPr>
      <t>eq)</t>
    </r>
  </si>
  <si>
    <r>
      <t>INCERTIDUMBRE EMISIONES CH</t>
    </r>
    <r>
      <rPr>
        <b/>
        <vertAlign val="subscript"/>
        <sz val="10"/>
        <rFont val="Avenir Next LT Pro"/>
        <family val="2"/>
      </rPr>
      <t>4</t>
    </r>
  </si>
  <si>
    <r>
      <t>FACTOR DE EMISIÓN N</t>
    </r>
    <r>
      <rPr>
        <b/>
        <vertAlign val="subscript"/>
        <sz val="11"/>
        <rFont val="Avenir Next LT Pro"/>
        <family val="2"/>
      </rPr>
      <t>2</t>
    </r>
    <r>
      <rPr>
        <b/>
        <sz val="11"/>
        <rFont val="Avenir Next LT Pro"/>
        <family val="2"/>
      </rPr>
      <t>O</t>
    </r>
  </si>
  <si>
    <r>
      <t>INCERTIDUMBRE FACTOR EMISIÓN N</t>
    </r>
    <r>
      <rPr>
        <b/>
        <vertAlign val="subscript"/>
        <sz val="10"/>
        <rFont val="Avenir Next LT Pro"/>
        <family val="2"/>
      </rPr>
      <t>2</t>
    </r>
    <r>
      <rPr>
        <b/>
        <sz val="10"/>
        <rFont val="Avenir Next LT Pro"/>
        <family val="2"/>
      </rPr>
      <t>O</t>
    </r>
  </si>
  <si>
    <r>
      <t>EMISIONES N</t>
    </r>
    <r>
      <rPr>
        <b/>
        <vertAlign val="subscript"/>
        <sz val="11"/>
        <rFont val="Avenir Next LT Pro"/>
        <family val="2"/>
      </rPr>
      <t>2</t>
    </r>
    <r>
      <rPr>
        <b/>
        <sz val="11"/>
        <rFont val="Avenir Next LT Pro"/>
        <family val="2"/>
      </rPr>
      <t>O (tN</t>
    </r>
    <r>
      <rPr>
        <b/>
        <vertAlign val="subscript"/>
        <sz val="11"/>
        <rFont val="Avenir Next LT Pro"/>
        <family val="2"/>
      </rPr>
      <t>2</t>
    </r>
    <r>
      <rPr>
        <b/>
        <sz val="11"/>
        <rFont val="Avenir Next LT Pro"/>
        <family val="2"/>
      </rPr>
      <t>O)</t>
    </r>
  </si>
  <si>
    <r>
      <t>EMISIONES N</t>
    </r>
    <r>
      <rPr>
        <b/>
        <vertAlign val="subscript"/>
        <sz val="11"/>
        <rFont val="Avenir Next LT Pro"/>
        <family val="2"/>
      </rPr>
      <t>2</t>
    </r>
    <r>
      <rPr>
        <b/>
        <sz val="11"/>
        <rFont val="Avenir Next LT Pro"/>
        <family val="2"/>
      </rPr>
      <t>O (tCO</t>
    </r>
    <r>
      <rPr>
        <b/>
        <vertAlign val="subscript"/>
        <sz val="11"/>
        <rFont val="Avenir Next LT Pro"/>
        <family val="2"/>
      </rPr>
      <t>2</t>
    </r>
    <r>
      <rPr>
        <b/>
        <sz val="11"/>
        <rFont val="Avenir Next LT Pro"/>
        <family val="2"/>
      </rPr>
      <t>eq)</t>
    </r>
  </si>
  <si>
    <r>
      <t>INCERTIDUMBRE EMISIONES N</t>
    </r>
    <r>
      <rPr>
        <b/>
        <vertAlign val="subscript"/>
        <sz val="10"/>
        <rFont val="Avenir Next LT Pro"/>
        <family val="2"/>
      </rPr>
      <t>2</t>
    </r>
    <r>
      <rPr>
        <b/>
        <sz val="10"/>
        <rFont val="Avenir Next LT Pro"/>
        <family val="2"/>
      </rPr>
      <t>O</t>
    </r>
  </si>
  <si>
    <t>FACTOR DE EMISIÓN 
HFC</t>
  </si>
  <si>
    <t>INCERTIDUMBRE FACTOR EMISIÓN HFC</t>
  </si>
  <si>
    <r>
      <t>EMISIONES HFC (tCO</t>
    </r>
    <r>
      <rPr>
        <b/>
        <vertAlign val="subscript"/>
        <sz val="11"/>
        <rFont val="Avenir Next LT Pro"/>
        <family val="2"/>
      </rPr>
      <t>2</t>
    </r>
    <r>
      <rPr>
        <b/>
        <sz val="11"/>
        <rFont val="Avenir Next LT Pro"/>
        <family val="2"/>
      </rPr>
      <t>eq)</t>
    </r>
  </si>
  <si>
    <t>INCERTIDUMBRE EMISIONES HFC</t>
  </si>
  <si>
    <t>FACTOR DE EMISIÓN 
PFC</t>
  </si>
  <si>
    <t>INCERTIDUMBRE FACTOR EMISIÓN PFC</t>
  </si>
  <si>
    <r>
      <t>EMISIONES PFC (tCO</t>
    </r>
    <r>
      <rPr>
        <b/>
        <vertAlign val="subscript"/>
        <sz val="11"/>
        <rFont val="Avenir Next LT Pro"/>
        <family val="2"/>
      </rPr>
      <t>2</t>
    </r>
    <r>
      <rPr>
        <b/>
        <sz val="11"/>
        <rFont val="Avenir Next LT Pro"/>
        <family val="2"/>
      </rPr>
      <t>eq)</t>
    </r>
  </si>
  <si>
    <t>INCERTIDUMBRE EMISIONES PFC</t>
  </si>
  <si>
    <r>
      <t>FACTOR DE EMISIÓN SF</t>
    </r>
    <r>
      <rPr>
        <b/>
        <vertAlign val="subscript"/>
        <sz val="11"/>
        <rFont val="Avenir Next LT Pro"/>
        <family val="2"/>
      </rPr>
      <t>6</t>
    </r>
  </si>
  <si>
    <r>
      <t>INCERTIDUMBRE FACTOR EMISIÓN SF</t>
    </r>
    <r>
      <rPr>
        <b/>
        <vertAlign val="subscript"/>
        <sz val="10"/>
        <rFont val="Avenir Next LT Pro"/>
        <family val="2"/>
      </rPr>
      <t>6</t>
    </r>
  </si>
  <si>
    <r>
      <t>EMISIONES SF</t>
    </r>
    <r>
      <rPr>
        <b/>
        <vertAlign val="subscript"/>
        <sz val="11"/>
        <rFont val="Avenir Next LT Pro"/>
        <family val="2"/>
      </rPr>
      <t>6</t>
    </r>
    <r>
      <rPr>
        <b/>
        <sz val="11"/>
        <rFont val="Avenir Next LT Pro"/>
        <family val="2"/>
      </rPr>
      <t xml:space="preserve"> (t SF</t>
    </r>
    <r>
      <rPr>
        <b/>
        <vertAlign val="subscript"/>
        <sz val="11"/>
        <rFont val="Avenir Next LT Pro"/>
        <family val="2"/>
      </rPr>
      <t>6</t>
    </r>
    <r>
      <rPr>
        <b/>
        <sz val="11"/>
        <rFont val="Avenir Next LT Pro"/>
        <family val="2"/>
      </rPr>
      <t>)</t>
    </r>
  </si>
  <si>
    <r>
      <t>EMISIONES SF</t>
    </r>
    <r>
      <rPr>
        <b/>
        <vertAlign val="subscript"/>
        <sz val="11"/>
        <rFont val="Avenir Next LT Pro"/>
        <family val="2"/>
      </rPr>
      <t>6</t>
    </r>
    <r>
      <rPr>
        <b/>
        <sz val="11"/>
        <rFont val="Avenir Next LT Pro"/>
        <family val="2"/>
      </rPr>
      <t xml:space="preserve"> (t CO</t>
    </r>
    <r>
      <rPr>
        <b/>
        <vertAlign val="subscript"/>
        <sz val="11"/>
        <rFont val="Avenir Next LT Pro"/>
        <family val="2"/>
      </rPr>
      <t xml:space="preserve">2 </t>
    </r>
    <r>
      <rPr>
        <b/>
        <sz val="11"/>
        <rFont val="Avenir Next LT Pro"/>
        <family val="2"/>
      </rPr>
      <t>eq)</t>
    </r>
  </si>
  <si>
    <r>
      <t>INCERTIDUMBRE EMISIONES SF</t>
    </r>
    <r>
      <rPr>
        <b/>
        <vertAlign val="subscript"/>
        <sz val="10"/>
        <rFont val="Avenir Next LT Pro"/>
        <family val="2"/>
      </rPr>
      <t>6</t>
    </r>
  </si>
  <si>
    <r>
      <t>FACTOR DE EMISIÓN CO</t>
    </r>
    <r>
      <rPr>
        <b/>
        <vertAlign val="subscript"/>
        <sz val="11"/>
        <rFont val="Avenir Next LT Pro"/>
        <family val="2"/>
      </rPr>
      <t>2 (biogénico)</t>
    </r>
  </si>
  <si>
    <r>
      <t>INCERTIDUMBRE FACTOR EMISIÓN CO</t>
    </r>
    <r>
      <rPr>
        <b/>
        <vertAlign val="subscript"/>
        <sz val="10"/>
        <rFont val="Avenir Next LT Pro"/>
        <family val="2"/>
      </rPr>
      <t>2 
(Biogénico)</t>
    </r>
  </si>
  <si>
    <r>
      <t>EMISIONES CO</t>
    </r>
    <r>
      <rPr>
        <b/>
        <vertAlign val="subscript"/>
        <sz val="11"/>
        <rFont val="Avenir Next LT Pro"/>
        <family val="2"/>
      </rPr>
      <t>2Biogénico</t>
    </r>
    <r>
      <rPr>
        <b/>
        <sz val="11"/>
        <rFont val="Avenir Next LT Pro"/>
        <family val="2"/>
      </rPr>
      <t xml:space="preserve"> 
(t CO</t>
    </r>
    <r>
      <rPr>
        <b/>
        <vertAlign val="subscript"/>
        <sz val="11"/>
        <rFont val="Avenir Next LT Pro"/>
        <family val="2"/>
      </rPr>
      <t>2 Biogénico</t>
    </r>
    <r>
      <rPr>
        <b/>
        <sz val="11"/>
        <rFont val="Avenir Next LT Pro"/>
        <family val="2"/>
      </rPr>
      <t>)</t>
    </r>
  </si>
  <si>
    <r>
      <t>INCERTIDUMBRE EMISIONES CO</t>
    </r>
    <r>
      <rPr>
        <b/>
        <vertAlign val="subscript"/>
        <sz val="10"/>
        <rFont val="Avenir Next LT Pro"/>
        <family val="2"/>
      </rPr>
      <t>2 Biogénico</t>
    </r>
  </si>
  <si>
    <t xml:space="preserve">Variable Auxiliar = (Huella de carbono x Incertidumbre de la fuente)^2 </t>
  </si>
  <si>
    <t>Consumo de combustibles líquidos</t>
  </si>
  <si>
    <t>(Fuentes Móviles)</t>
  </si>
  <si>
    <t>Consumo de combustibles gaseosos</t>
  </si>
  <si>
    <t>SUBTOTAL COMBUSTIBLES</t>
  </si>
  <si>
    <t>Extintores (Fuentes Móviles)</t>
  </si>
  <si>
    <t>Lubricantes (Fuentes Móviles)</t>
  </si>
  <si>
    <t>SUBTOTAL OTROS</t>
  </si>
  <si>
    <t>SUBTOTAL FUENTES MÓVILES</t>
  </si>
  <si>
    <t>FUENTES FIJAS</t>
  </si>
  <si>
    <t>EMISIONES HFC (tCO2eq)</t>
  </si>
  <si>
    <t>EMISIONES PFC (tCO2eq)</t>
  </si>
  <si>
    <r>
      <t>EMISIONES SF</t>
    </r>
    <r>
      <rPr>
        <b/>
        <vertAlign val="subscript"/>
        <sz val="11"/>
        <rFont val="Avenir Next LT Pro"/>
        <family val="2"/>
      </rPr>
      <t>6</t>
    </r>
    <r>
      <rPr>
        <b/>
        <sz val="11"/>
        <rFont val="Avenir Next LT Pro"/>
        <family val="2"/>
      </rPr>
      <t xml:space="preserve"> (tSF</t>
    </r>
    <r>
      <rPr>
        <b/>
        <vertAlign val="subscript"/>
        <sz val="11"/>
        <rFont val="Avenir Next LT Pro"/>
        <family val="2"/>
      </rPr>
      <t>6</t>
    </r>
    <r>
      <rPr>
        <b/>
        <sz val="11"/>
        <rFont val="Avenir Next LT Pro"/>
        <family val="2"/>
      </rPr>
      <t>)</t>
    </r>
  </si>
  <si>
    <r>
      <t>EMISIONES SF</t>
    </r>
    <r>
      <rPr>
        <b/>
        <vertAlign val="subscript"/>
        <sz val="11"/>
        <rFont val="Avenir Next LT Pro"/>
        <family val="2"/>
      </rPr>
      <t>6</t>
    </r>
    <r>
      <rPr>
        <b/>
        <sz val="11"/>
        <rFont val="Avenir Next LT Pro"/>
        <family val="2"/>
      </rPr>
      <t xml:space="preserve"> (tCO</t>
    </r>
    <r>
      <rPr>
        <b/>
        <vertAlign val="subscript"/>
        <sz val="11"/>
        <rFont val="Avenir Next LT Pro"/>
        <family val="2"/>
      </rPr>
      <t>2</t>
    </r>
    <r>
      <rPr>
        <b/>
        <sz val="11"/>
        <rFont val="Avenir Next LT Pro"/>
        <family val="2"/>
      </rPr>
      <t>eq)</t>
    </r>
  </si>
  <si>
    <r>
      <t>EMISIONES CO</t>
    </r>
    <r>
      <rPr>
        <b/>
        <vertAlign val="subscript"/>
        <sz val="11"/>
        <rFont val="Avenir Next LT Pro"/>
        <family val="2"/>
      </rPr>
      <t>2Biogénico</t>
    </r>
    <r>
      <rPr>
        <b/>
        <sz val="11"/>
        <rFont val="Avenir Next LT Pro"/>
        <family val="2"/>
      </rPr>
      <t xml:space="preserve"> 
(tCO</t>
    </r>
    <r>
      <rPr>
        <b/>
        <vertAlign val="subscript"/>
        <sz val="11"/>
        <rFont val="Avenir Next LT Pro"/>
        <family val="2"/>
      </rPr>
      <t>2 Biogénico</t>
    </r>
    <r>
      <rPr>
        <b/>
        <sz val="11"/>
        <rFont val="Avenir Next LT Pro"/>
        <family val="2"/>
      </rPr>
      <t>)</t>
    </r>
  </si>
  <si>
    <t>Consumo de combustibles sólidos</t>
  </si>
  <si>
    <t xml:space="preserve"> (Fuentes Fijas)</t>
  </si>
  <si>
    <t>Extintores (Fuentes Fijas)</t>
  </si>
  <si>
    <t>Lubricantes (Fuentes Fijas)</t>
  </si>
  <si>
    <t>SUBTOTAL FUENTES FIJAS</t>
  </si>
  <si>
    <t xml:space="preserve">FUENTES FUGITIVAS </t>
  </si>
  <si>
    <r>
      <t>HUELLA DE CARBONO
(tCO</t>
    </r>
    <r>
      <rPr>
        <b/>
        <vertAlign val="subscript"/>
        <sz val="11"/>
        <rFont val="Avenir Next LT Pro"/>
        <family val="2"/>
      </rPr>
      <t>2</t>
    </r>
    <r>
      <rPr>
        <b/>
        <sz val="11"/>
        <rFont val="Avenir Next LT Pro"/>
        <family val="2"/>
      </rPr>
      <t>eq)</t>
    </r>
  </si>
  <si>
    <t>INCERTIDUMBRE FACTOR EMISIÓN PFCs</t>
  </si>
  <si>
    <t>Perdidas de HFC</t>
  </si>
  <si>
    <t xml:space="preserve">(Refrigerantes en Instalaciones, </t>
  </si>
  <si>
    <t>edificios y procesos)</t>
  </si>
  <si>
    <t>Perdidas de PFC</t>
  </si>
  <si>
    <t>(Instalaciones,edificios y procesos)</t>
  </si>
  <si>
    <t xml:space="preserve">SUBTOTAL EMISIONES FUGITIVAS INSTALACIONES Y EDIFICIOS </t>
  </si>
  <si>
    <t xml:space="preserve">Perdidas de refrigerantes </t>
  </si>
  <si>
    <t>SUBTOTAL EMISIONES FUGITIVAS FUENTES MOVILES</t>
  </si>
  <si>
    <t>Manejo de embalses</t>
  </si>
  <si>
    <r>
      <t>Pérdidas de CO</t>
    </r>
    <r>
      <rPr>
        <vertAlign val="subscript"/>
        <sz val="11"/>
        <rFont val="Avenir Next LT Pro"/>
        <family val="2"/>
      </rPr>
      <t>2</t>
    </r>
    <r>
      <rPr>
        <sz val="11"/>
        <rFont val="Avenir Next LT Pro"/>
        <family val="2"/>
      </rPr>
      <t xml:space="preserve"> en proceso</t>
    </r>
  </si>
  <si>
    <t>Consumo de aislante eléctrico</t>
  </si>
  <si>
    <t>Tratamiento y Descarga de Aguas Residuales</t>
  </si>
  <si>
    <t>Desechos Sólidos</t>
  </si>
  <si>
    <t xml:space="preserve">SUBTOTAL OTRAS EMISIONES FUGITIVAS </t>
  </si>
  <si>
    <t xml:space="preserve">SUBTOTAL FUENTES FUGITIVAS </t>
  </si>
  <si>
    <t>EMISIONES DE PROCESO</t>
  </si>
  <si>
    <t>INCERTIDUMBRE EMISIONES HFCs</t>
  </si>
  <si>
    <t>INCERTIDUMBRE EMISIONES PFCs</t>
  </si>
  <si>
    <t>Minería e hidrocarburos</t>
  </si>
  <si>
    <t>Industrial</t>
  </si>
  <si>
    <t>Fermentación Entérica</t>
  </si>
  <si>
    <t>Manejo de Estiércol</t>
  </si>
  <si>
    <t xml:space="preserve">Manejo de residuos agropecuarios </t>
  </si>
  <si>
    <t>Uso fertilizantes</t>
  </si>
  <si>
    <t xml:space="preserve">Cal aplicada </t>
  </si>
  <si>
    <t>Cultivo de Arroz</t>
  </si>
  <si>
    <t>Cambios en el inventarios de carbono de cultivos</t>
  </si>
  <si>
    <t>SUBTOTAL EMISIONES DE PROCESO</t>
  </si>
  <si>
    <t>TOTAL ALCANCE 1</t>
  </si>
  <si>
    <t>ALCANCE 2</t>
  </si>
  <si>
    <t>INCERTIDUMBRE FACTOR EMISIÓN HFCs</t>
  </si>
  <si>
    <t>Consumo de energía adquirida</t>
  </si>
  <si>
    <t>TOTAL HUELLA DE CARBONO CORPORATIVA</t>
  </si>
  <si>
    <t>Solamente se pueden reportar emisiones de GEI en esta categoría. Cambie su selección anterior.</t>
  </si>
  <si>
    <t>EmisionesGEI</t>
  </si>
  <si>
    <t>DatosActividad</t>
  </si>
  <si>
    <t>Factor Emisión CO2eq (kg CO2eq/t)</t>
  </si>
  <si>
    <t>Incertidumbre (+/- %)</t>
  </si>
  <si>
    <t>Fuente Bibliográfica</t>
  </si>
  <si>
    <t>Fuentes Fijas</t>
  </si>
  <si>
    <t>Fuentes Móviles</t>
  </si>
  <si>
    <t>Biogénicas</t>
  </si>
  <si>
    <t>Incertidumbre Juicio expertos IPCC</t>
  </si>
  <si>
    <t>Combustible_Sólido</t>
  </si>
  <si>
    <t>Unidad Consumo</t>
  </si>
  <si>
    <t>Unidad FE</t>
  </si>
  <si>
    <t>Factor Emisión CH4 (g CH4/t)</t>
  </si>
  <si>
    <t>Factor Emisión CH4 (kg CH4/t)</t>
  </si>
  <si>
    <t>Factor Emisión N2O (g N2O/t)</t>
  </si>
  <si>
    <t>Factor Emisión N2O (kg N2O/t)</t>
  </si>
  <si>
    <t>Factor Emisión CO2 (kg CO2/lt)</t>
  </si>
  <si>
    <t xml:space="preserve">% Rango menor </t>
  </si>
  <si>
    <t>% Rango mayor</t>
  </si>
  <si>
    <t>Carbón Genérico</t>
  </si>
  <si>
    <t xml:space="preserve">t </t>
  </si>
  <si>
    <t>kg CO2/t</t>
  </si>
  <si>
    <t>IPCC, 2006</t>
  </si>
  <si>
    <r>
      <rPr>
        <sz val="10"/>
        <rFont val="Trebuchet MS"/>
        <family val="2"/>
      </rPr>
      <t>kg CH</t>
    </r>
    <r>
      <rPr>
        <vertAlign val="subscript"/>
        <sz val="10"/>
        <rFont val="Trebuchet MS"/>
        <family val="2"/>
      </rPr>
      <t>4</t>
    </r>
    <r>
      <rPr>
        <sz val="10"/>
        <rFont val="Trebuchet MS"/>
        <family val="2"/>
      </rPr>
      <t>/t</t>
    </r>
  </si>
  <si>
    <r>
      <rPr>
        <sz val="10"/>
        <rFont val="Trebuchet MS"/>
        <family val="2"/>
      </rPr>
      <t>kg N</t>
    </r>
    <r>
      <rPr>
        <vertAlign val="subscript"/>
        <sz val="10"/>
        <rFont val="Trebuchet MS"/>
        <family val="2"/>
      </rPr>
      <t>2</t>
    </r>
    <r>
      <rPr>
        <sz val="10"/>
        <rFont val="Trebuchet MS"/>
        <family val="2"/>
      </rPr>
      <t>O/t</t>
    </r>
  </si>
  <si>
    <t>Coque</t>
  </si>
  <si>
    <t>t</t>
  </si>
  <si>
    <t>Coque de petróleo</t>
  </si>
  <si>
    <t>Madera / Desechos de madera</t>
  </si>
  <si>
    <t>Otra biomasa solida primaria</t>
  </si>
  <si>
    <t>Carbón Vegetal</t>
  </si>
  <si>
    <t>Combustible</t>
  </si>
  <si>
    <t>Factor Emisión CO2eq (kg CO2eq/lt)</t>
  </si>
  <si>
    <t>Factor Emisión CH4 (g CH4/lt)</t>
  </si>
  <si>
    <t>Factor Emisión CH4 (kg CH4/lt)</t>
  </si>
  <si>
    <t>Factor Emisión N2O (g N2O/lt)</t>
  </si>
  <si>
    <t>Factor Emisión N2O (kg N2O/lt)</t>
  </si>
  <si>
    <t>Diésel Oil</t>
  </si>
  <si>
    <t>lt</t>
  </si>
  <si>
    <r>
      <rPr>
        <sz val="10"/>
        <rFont val="Trebuchet MS"/>
        <family val="2"/>
      </rPr>
      <t>kg CO</t>
    </r>
    <r>
      <rPr>
        <vertAlign val="subscript"/>
        <sz val="10"/>
        <rFont val="Trebuchet MS"/>
        <family val="2"/>
      </rPr>
      <t>2</t>
    </r>
    <r>
      <rPr>
        <sz val="10"/>
        <rFont val="Trebuchet MS"/>
        <family val="2"/>
      </rPr>
      <t>/lt</t>
    </r>
  </si>
  <si>
    <r>
      <rPr>
        <sz val="10"/>
        <rFont val="Trebuchet MS"/>
        <family val="2"/>
      </rPr>
      <t>kg CH</t>
    </r>
    <r>
      <rPr>
        <vertAlign val="subscript"/>
        <sz val="10"/>
        <rFont val="Trebuchet MS"/>
        <family val="2"/>
      </rPr>
      <t>4</t>
    </r>
    <r>
      <rPr>
        <sz val="10"/>
        <rFont val="Trebuchet MS"/>
        <family val="2"/>
      </rPr>
      <t>/lt</t>
    </r>
  </si>
  <si>
    <r>
      <rPr>
        <sz val="10"/>
        <rFont val="Trebuchet MS"/>
        <family val="2"/>
      </rPr>
      <t>kg N</t>
    </r>
    <r>
      <rPr>
        <vertAlign val="subscript"/>
        <sz val="10"/>
        <rFont val="Trebuchet MS"/>
        <family val="2"/>
      </rPr>
      <t>2</t>
    </r>
    <r>
      <rPr>
        <sz val="10"/>
        <rFont val="Trebuchet MS"/>
        <family val="2"/>
      </rPr>
      <t>O/lt</t>
    </r>
  </si>
  <si>
    <t xml:space="preserve">Gasolina </t>
  </si>
  <si>
    <t>Queroseno</t>
  </si>
  <si>
    <t>Fuelóleo Residual</t>
  </si>
  <si>
    <t xml:space="preserve">Crudo </t>
  </si>
  <si>
    <t xml:space="preserve">Gasolina para aviación </t>
  </si>
  <si>
    <t>Gasolina para motor a reacción</t>
  </si>
  <si>
    <t>Factor Emisión CO2 (kg CO2/m3)</t>
  </si>
  <si>
    <t>Factor Emisión CH4 (g CH4/m3)</t>
  </si>
  <si>
    <t>Factor Emisión CH4 (kg CH4/m3)</t>
  </si>
  <si>
    <t>Factor Emisión N2O (g N2O/m3)</t>
  </si>
  <si>
    <t>Factor Emisión N2O (kg N2O/m3)</t>
  </si>
  <si>
    <t>Biogás Genérico</t>
  </si>
  <si>
    <r>
      <rPr>
        <sz val="10"/>
        <rFont val="Trebuchet MS"/>
        <family val="2"/>
      </rPr>
      <t>m</t>
    </r>
    <r>
      <rPr>
        <vertAlign val="superscript"/>
        <sz val="10"/>
        <rFont val="Trebuchet MS"/>
        <family val="2"/>
      </rPr>
      <t>3</t>
    </r>
  </si>
  <si>
    <r>
      <rPr>
        <sz val="10"/>
        <rFont val="Trebuchet MS"/>
        <family val="2"/>
      </rPr>
      <t>kg CO</t>
    </r>
    <r>
      <rPr>
        <vertAlign val="subscript"/>
        <sz val="10"/>
        <rFont val="Trebuchet MS"/>
        <family val="2"/>
      </rPr>
      <t>2</t>
    </r>
    <r>
      <rPr>
        <sz val="10"/>
        <rFont val="Trebuchet MS"/>
        <family val="2"/>
      </rPr>
      <t>/m</t>
    </r>
    <r>
      <rPr>
        <vertAlign val="superscript"/>
        <sz val="10"/>
        <rFont val="Trebuchet MS"/>
        <family val="2"/>
      </rPr>
      <t>3</t>
    </r>
  </si>
  <si>
    <r>
      <rPr>
        <sz val="10"/>
        <rFont val="Trebuchet MS"/>
        <family val="2"/>
      </rPr>
      <t>kg CH</t>
    </r>
    <r>
      <rPr>
        <vertAlign val="subscript"/>
        <sz val="10"/>
        <rFont val="Trebuchet MS"/>
        <family val="2"/>
      </rPr>
      <t>4</t>
    </r>
    <r>
      <rPr>
        <sz val="10"/>
        <rFont val="Trebuchet MS"/>
        <family val="2"/>
      </rPr>
      <t>/m</t>
    </r>
    <r>
      <rPr>
        <vertAlign val="superscript"/>
        <sz val="10"/>
        <rFont val="Trebuchet MS"/>
        <family val="2"/>
      </rPr>
      <t>3</t>
    </r>
  </si>
  <si>
    <r>
      <rPr>
        <sz val="10"/>
        <rFont val="Trebuchet MS"/>
        <family val="2"/>
      </rPr>
      <t>kg N</t>
    </r>
    <r>
      <rPr>
        <vertAlign val="subscript"/>
        <sz val="10"/>
        <rFont val="Trebuchet MS"/>
        <family val="2"/>
      </rPr>
      <t>2</t>
    </r>
    <r>
      <rPr>
        <sz val="10"/>
        <rFont val="Trebuchet MS"/>
        <family val="2"/>
      </rPr>
      <t>O/m</t>
    </r>
    <r>
      <rPr>
        <vertAlign val="superscript"/>
        <sz val="10"/>
        <rFont val="Trebuchet MS"/>
        <family val="2"/>
      </rPr>
      <t>3</t>
    </r>
  </si>
  <si>
    <t xml:space="preserve">Gas Natural </t>
  </si>
  <si>
    <t>GLP Genérico</t>
  </si>
  <si>
    <t>kg</t>
  </si>
  <si>
    <r>
      <rPr>
        <sz val="10"/>
        <rFont val="Trebuchet MS"/>
        <family val="2"/>
      </rPr>
      <t>kg CO</t>
    </r>
    <r>
      <rPr>
        <vertAlign val="subscript"/>
        <sz val="10"/>
        <rFont val="Trebuchet MS"/>
        <family val="2"/>
      </rPr>
      <t>2</t>
    </r>
    <r>
      <rPr>
        <sz val="10"/>
        <rFont val="Trebuchet MS"/>
        <family val="2"/>
      </rPr>
      <t>/kg</t>
    </r>
  </si>
  <si>
    <r>
      <rPr>
        <sz val="10"/>
        <rFont val="Trebuchet MS"/>
        <family val="2"/>
      </rPr>
      <t>kg CH</t>
    </r>
    <r>
      <rPr>
        <vertAlign val="subscript"/>
        <sz val="10"/>
        <rFont val="Trebuchet MS"/>
        <family val="2"/>
      </rPr>
      <t>4</t>
    </r>
    <r>
      <rPr>
        <sz val="10"/>
        <rFont val="Trebuchet MS"/>
        <family val="2"/>
      </rPr>
      <t>/kg</t>
    </r>
  </si>
  <si>
    <r>
      <rPr>
        <sz val="10"/>
        <rFont val="Trebuchet MS"/>
        <family val="2"/>
      </rPr>
      <t>kg N</t>
    </r>
    <r>
      <rPr>
        <vertAlign val="subscript"/>
        <sz val="10"/>
        <rFont val="Trebuchet MS"/>
        <family val="2"/>
      </rPr>
      <t>2</t>
    </r>
    <r>
      <rPr>
        <sz val="10"/>
        <rFont val="Trebuchet MS"/>
        <family val="2"/>
      </rPr>
      <t>O/kg</t>
    </r>
  </si>
  <si>
    <t>Gas MAPP</t>
  </si>
  <si>
    <t>Cálculo estequiométrico</t>
  </si>
  <si>
    <t>Acetileno</t>
  </si>
  <si>
    <t xml:space="preserve">Calculo estequiométrico </t>
  </si>
  <si>
    <t>Refrigerante</t>
  </si>
  <si>
    <t>Factor Emisión CO2eq (kg CO2eq/kg)</t>
  </si>
  <si>
    <t>HFC-23 / R-23</t>
  </si>
  <si>
    <r>
      <rPr>
        <sz val="10"/>
        <rFont val="Trebuchet MS"/>
        <family val="2"/>
      </rPr>
      <t>kgCO</t>
    </r>
    <r>
      <rPr>
        <vertAlign val="subscript"/>
        <sz val="10"/>
        <rFont val="Trebuchet MS"/>
        <family val="2"/>
      </rPr>
      <t>2</t>
    </r>
    <r>
      <rPr>
        <sz val="10"/>
        <rFont val="Trebuchet MS"/>
        <family val="2"/>
      </rPr>
      <t>eq/kg</t>
    </r>
  </si>
  <si>
    <t>GWP-AR5-IPCC</t>
  </si>
  <si>
    <t>kgCO2eq/kg</t>
  </si>
  <si>
    <t>GWP-AR4-IPCC</t>
  </si>
  <si>
    <t>HFC-32 / R-32</t>
  </si>
  <si>
    <t>HFC-125 / R-125</t>
  </si>
  <si>
    <t>HFC-134 / R-134</t>
  </si>
  <si>
    <t>HFC-134a / R-134a</t>
  </si>
  <si>
    <t>HFC-143 / R-143</t>
  </si>
  <si>
    <t>HFC-143a / R-143a</t>
  </si>
  <si>
    <t>HFC-404A / R-404A</t>
  </si>
  <si>
    <t>Calculado a partir de la composición porcentual con los valores del AR5 - IPCC. R134A=4%; R125=44%; R143A=52%</t>
  </si>
  <si>
    <t>http://www.gas-servei.com/images/Ficha-tecnica-R404A.pdf</t>
  </si>
  <si>
    <t>HFC-407C / R-407C</t>
  </si>
  <si>
    <t>Calculado a partir de la composición porcentual con los valores del AR5 - IPCC. R134A=52%; R125=25%; R32=23%. Datos de porcentajes obtenidos de: IPCC    http://www.ipcc.ch/ipccreports/tar/wg3/index.php?idp=144</t>
  </si>
  <si>
    <t>HFC-410a / R-410A</t>
  </si>
  <si>
    <t>Calculado a partir de la composición porcentual con los valores del AR5 - IPCC. R125=50%; R32=50%. Datos de porcentajes obtenidos de: IPCC    http://www.ipcc.ch/ipccreports/tar/wg3/index.php?idp=144</t>
  </si>
  <si>
    <t>HFC-413a / R-413A</t>
  </si>
  <si>
    <t>Calculado a partir de la composición porcentual con los valores del AR5 - IPCC. R218=9%; R134A=88% y R600=3%. Datos de porcentajes obtenidos de: IPCC    http://www.ipcc.ch/ipccreports/tar/wg3/index.php?idp=144</t>
  </si>
  <si>
    <t>HFC-422D / R-422D</t>
  </si>
  <si>
    <t>Calculado a partir de la composición porcentual con los valores del AR5 - IPCC. R125=65,1%; R134A=31,5%; R600A=3,4%. Datos de porcentajes obtenidos de: http://www.gas-servei.com/images/Ficha-tecnica-R422D--I29-.pdf</t>
  </si>
  <si>
    <t>HFC-507A / R-507A</t>
  </si>
  <si>
    <t>Calculado a partir de la composición porcentual con los valores del AR5 - IPCC. R125=50%; R134A=50%. Datos de porcentajes obtenidos de: https://gas-servei.com/shop/docs/ficha-tecnica-r-507a-gas-servei.pdf</t>
  </si>
  <si>
    <t xml:space="preserve">PFC-14 / R-14 </t>
  </si>
  <si>
    <t xml:space="preserve">PFC-218 / R-218 </t>
  </si>
  <si>
    <t>Refrigerantes fuentes móviles</t>
  </si>
  <si>
    <t xml:space="preserve"> </t>
  </si>
  <si>
    <t>Extintores</t>
  </si>
  <si>
    <t>Extintores CO2eq</t>
  </si>
  <si>
    <r>
      <rPr>
        <sz val="10"/>
        <rFont val="Trebuchet MS"/>
        <family val="2"/>
      </rPr>
      <t>kgCO</t>
    </r>
    <r>
      <rPr>
        <vertAlign val="subscript"/>
        <sz val="10"/>
        <rFont val="Trebuchet MS"/>
        <family val="2"/>
      </rPr>
      <t>2</t>
    </r>
    <r>
      <rPr>
        <sz val="10"/>
        <rFont val="Trebuchet MS"/>
        <family val="2"/>
      </rPr>
      <t>/kg</t>
    </r>
  </si>
  <si>
    <t>HFC-227ea / FM-200</t>
  </si>
  <si>
    <t>Lubricantes</t>
  </si>
  <si>
    <t>Aceites lubricantes</t>
  </si>
  <si>
    <r>
      <rPr>
        <sz val="10"/>
        <rFont val="Trebuchet MS"/>
        <family val="2"/>
      </rPr>
      <t>kgCO</t>
    </r>
    <r>
      <rPr>
        <vertAlign val="subscript"/>
        <sz val="10"/>
        <rFont val="Trebuchet MS"/>
        <family val="2"/>
      </rPr>
      <t>2</t>
    </r>
    <r>
      <rPr>
        <sz val="10"/>
        <rFont val="Trebuchet MS"/>
        <family val="2"/>
      </rPr>
      <t>/lt</t>
    </r>
  </si>
  <si>
    <t>IPCC 2006</t>
  </si>
  <si>
    <t>Grasa Lubricante</t>
  </si>
  <si>
    <t>Fugas de CO2eq en proceso</t>
  </si>
  <si>
    <r>
      <rPr>
        <sz val="10"/>
        <rFont val="Trebuchet MS"/>
        <family val="2"/>
      </rPr>
      <t>Perdidas de CO</t>
    </r>
    <r>
      <rPr>
        <vertAlign val="subscript"/>
        <sz val="10"/>
        <rFont val="Trebuchet MS"/>
        <family val="2"/>
      </rPr>
      <t>2</t>
    </r>
    <r>
      <rPr>
        <sz val="10"/>
        <rFont val="Trebuchet MS"/>
        <family val="2"/>
      </rPr>
      <t xml:space="preserve"> en procesos que usen este gas</t>
    </r>
  </si>
  <si>
    <t xml:space="preserve">Aislamiento </t>
  </si>
  <si>
    <t>SF6</t>
  </si>
  <si>
    <r>
      <rPr>
        <sz val="10"/>
        <rFont val="Trebuchet MS"/>
        <family val="2"/>
      </rPr>
      <t>kgSF</t>
    </r>
    <r>
      <rPr>
        <vertAlign val="subscript"/>
        <sz val="10"/>
        <rFont val="Trebuchet MS"/>
        <family val="2"/>
      </rPr>
      <t>6</t>
    </r>
    <r>
      <rPr>
        <sz val="11"/>
        <rFont val="Trebuchet MS"/>
        <family val="2"/>
      </rPr>
      <t>/kg</t>
    </r>
  </si>
  <si>
    <t>Emisiones de procesos</t>
  </si>
  <si>
    <t xml:space="preserve">Factor Emisión </t>
  </si>
  <si>
    <t>Minería</t>
  </si>
  <si>
    <t>Extracción de Carbón - Subterráneo</t>
  </si>
  <si>
    <r>
      <rPr>
        <sz val="10"/>
        <rFont val="Trebuchet MS"/>
        <family val="2"/>
      </rPr>
      <t>kgCH</t>
    </r>
    <r>
      <rPr>
        <vertAlign val="subscript"/>
        <sz val="11"/>
        <rFont val="Trebuchet MS"/>
        <family val="2"/>
      </rPr>
      <t>4</t>
    </r>
    <r>
      <rPr>
        <sz val="11"/>
        <rFont val="Trebuchet MS"/>
        <family val="2"/>
      </rPr>
      <t>/t</t>
    </r>
  </si>
  <si>
    <t xml:space="preserve">IPCC 2019 </t>
  </si>
  <si>
    <r>
      <rPr>
        <sz val="10"/>
        <rFont val="Trebuchet MS"/>
        <family val="2"/>
      </rPr>
      <t>kgCO</t>
    </r>
    <r>
      <rPr>
        <vertAlign val="subscript"/>
        <sz val="11"/>
        <rFont val="Trebuchet MS"/>
        <family val="2"/>
      </rPr>
      <t>2</t>
    </r>
    <r>
      <rPr>
        <sz val="11"/>
        <rFont val="Trebuchet MS"/>
        <family val="2"/>
      </rPr>
      <t>/t</t>
    </r>
  </si>
  <si>
    <r>
      <rPr>
        <sz val="10"/>
        <rFont val="Trebuchet MS"/>
        <family val="2"/>
      </rPr>
      <t>kgN</t>
    </r>
    <r>
      <rPr>
        <vertAlign val="subscript"/>
        <sz val="11"/>
        <rFont val="Trebuchet MS"/>
        <family val="2"/>
      </rPr>
      <t>2</t>
    </r>
    <r>
      <rPr>
        <sz val="11"/>
        <rFont val="Trebuchet MS"/>
        <family val="2"/>
      </rPr>
      <t>O/t</t>
    </r>
  </si>
  <si>
    <t>Extracción de Carbón - Cielo Abierto</t>
  </si>
  <si>
    <t>Producción de petróleo On-Shore (tecnologías de bajas emisiones)</t>
  </si>
  <si>
    <t>Barriles producidos</t>
  </si>
  <si>
    <r>
      <rPr>
        <sz val="10"/>
        <rFont val="Trebuchet MS"/>
        <family val="2"/>
      </rPr>
      <t>kgCH</t>
    </r>
    <r>
      <rPr>
        <vertAlign val="subscript"/>
        <sz val="11"/>
        <rFont val="Trebuchet MS"/>
        <family val="2"/>
      </rPr>
      <t>4</t>
    </r>
    <r>
      <rPr>
        <sz val="11"/>
        <rFont val="Trebuchet MS"/>
        <family val="2"/>
      </rPr>
      <t>/barril</t>
    </r>
  </si>
  <si>
    <r>
      <rPr>
        <sz val="10"/>
        <rFont val="Trebuchet MS"/>
        <family val="2"/>
      </rPr>
      <t>kgCO</t>
    </r>
    <r>
      <rPr>
        <vertAlign val="subscript"/>
        <sz val="11"/>
        <rFont val="Trebuchet MS"/>
        <family val="2"/>
      </rPr>
      <t>2</t>
    </r>
    <r>
      <rPr>
        <sz val="11"/>
        <rFont val="Trebuchet MS"/>
        <family val="2"/>
      </rPr>
      <t>/barril</t>
    </r>
  </si>
  <si>
    <r>
      <rPr>
        <sz val="10"/>
        <rFont val="Trebuchet MS"/>
        <family val="2"/>
      </rPr>
      <t>kgN</t>
    </r>
    <r>
      <rPr>
        <vertAlign val="subscript"/>
        <sz val="11"/>
        <rFont val="Trebuchet MS"/>
        <family val="2"/>
      </rPr>
      <t>2</t>
    </r>
    <r>
      <rPr>
        <sz val="11"/>
        <rFont val="Trebuchet MS"/>
        <family val="2"/>
      </rPr>
      <t>O/barril</t>
    </r>
  </si>
  <si>
    <t>Producción de petróleo On-Shore (tecnologías de altas emisiones)</t>
  </si>
  <si>
    <t xml:space="preserve">Producción de petróleo Off-Shore </t>
  </si>
  <si>
    <t>Transporte de petróleo en tuberías</t>
  </si>
  <si>
    <t>Barriles transport.</t>
  </si>
  <si>
    <t>Transporte de petróleo en camiones y trenes</t>
  </si>
  <si>
    <t>Petróleo almacenado en tanques</t>
  </si>
  <si>
    <t>Barriles alimentados</t>
  </si>
  <si>
    <t>Refinación de petróleo</t>
  </si>
  <si>
    <t>Barriles refinados</t>
  </si>
  <si>
    <t>Producción de gas natural On-Shore (tecnologías de bajas emisiones)</t>
  </si>
  <si>
    <r>
      <rPr>
        <sz val="10"/>
        <rFont val="Trebuchet MS"/>
        <family val="2"/>
      </rPr>
      <t>m</t>
    </r>
    <r>
      <rPr>
        <vertAlign val="superscript"/>
        <sz val="10"/>
        <rFont val="Trebuchet MS"/>
        <family val="2"/>
      </rPr>
      <t>3</t>
    </r>
    <r>
      <rPr>
        <sz val="10"/>
        <rFont val="Trebuchet MS"/>
        <family val="2"/>
      </rPr>
      <t xml:space="preserve"> producidos</t>
    </r>
  </si>
  <si>
    <r>
      <rPr>
        <sz val="10"/>
        <rFont val="Trebuchet MS"/>
        <family val="2"/>
      </rPr>
      <t>kgCH</t>
    </r>
    <r>
      <rPr>
        <vertAlign val="subscript"/>
        <sz val="11"/>
        <rFont val="Trebuchet MS"/>
        <family val="2"/>
      </rPr>
      <t>4</t>
    </r>
    <r>
      <rPr>
        <sz val="11"/>
        <rFont val="Trebuchet MS"/>
        <family val="2"/>
      </rPr>
      <t>/m</t>
    </r>
    <r>
      <rPr>
        <vertAlign val="superscript"/>
        <sz val="11"/>
        <rFont val="Trebuchet MS"/>
        <family val="2"/>
      </rPr>
      <t>3</t>
    </r>
  </si>
  <si>
    <r>
      <rPr>
        <sz val="10"/>
        <rFont val="Trebuchet MS"/>
        <family val="2"/>
      </rPr>
      <t>kgCO</t>
    </r>
    <r>
      <rPr>
        <vertAlign val="subscript"/>
        <sz val="11"/>
        <rFont val="Trebuchet MS"/>
        <family val="2"/>
      </rPr>
      <t>2</t>
    </r>
    <r>
      <rPr>
        <sz val="11"/>
        <rFont val="Trebuchet MS"/>
        <family val="2"/>
      </rPr>
      <t>/m</t>
    </r>
    <r>
      <rPr>
        <vertAlign val="superscript"/>
        <sz val="11"/>
        <rFont val="Trebuchet MS"/>
        <family val="2"/>
      </rPr>
      <t>3</t>
    </r>
  </si>
  <si>
    <r>
      <rPr>
        <sz val="10"/>
        <rFont val="Trebuchet MS"/>
        <family val="2"/>
      </rPr>
      <t>kgN</t>
    </r>
    <r>
      <rPr>
        <vertAlign val="subscript"/>
        <sz val="11"/>
        <rFont val="Trebuchet MS"/>
        <family val="2"/>
      </rPr>
      <t>2</t>
    </r>
    <r>
      <rPr>
        <sz val="11"/>
        <rFont val="Trebuchet MS"/>
        <family val="2"/>
      </rPr>
      <t>O/m</t>
    </r>
    <r>
      <rPr>
        <vertAlign val="superscript"/>
        <sz val="11"/>
        <rFont val="Trebuchet MS"/>
        <family val="2"/>
      </rPr>
      <t>3</t>
    </r>
  </si>
  <si>
    <t>Producción de gas natural On-Shore (tecnologías de altas emisiones)</t>
  </si>
  <si>
    <t xml:space="preserve">Producción de gas natural Off-Shore </t>
  </si>
  <si>
    <t>Tratamiento del gas natural (sin corrección de fugas en sistema)</t>
  </si>
  <si>
    <r>
      <rPr>
        <sz val="10"/>
        <rFont val="Trebuchet MS"/>
        <family val="2"/>
      </rPr>
      <t>m</t>
    </r>
    <r>
      <rPr>
        <vertAlign val="superscript"/>
        <sz val="10"/>
        <rFont val="Trebuchet MS"/>
        <family val="2"/>
      </rPr>
      <t>3</t>
    </r>
    <r>
      <rPr>
        <sz val="10"/>
        <rFont val="Trebuchet MS"/>
        <family val="2"/>
      </rPr>
      <t xml:space="preserve"> tratados</t>
    </r>
  </si>
  <si>
    <t>Tratamiento del gas natural (con corrección de fugas en sistema)</t>
  </si>
  <si>
    <t>Transporte del gas natural en tuberías (sin corrección de fugas en sistema)</t>
  </si>
  <si>
    <r>
      <rPr>
        <sz val="10"/>
        <rFont val="Trebuchet MS"/>
        <family val="2"/>
      </rPr>
      <t>m</t>
    </r>
    <r>
      <rPr>
        <vertAlign val="superscript"/>
        <sz val="10"/>
        <rFont val="Trebuchet MS"/>
        <family val="2"/>
      </rPr>
      <t>3</t>
    </r>
    <r>
      <rPr>
        <sz val="10"/>
        <rFont val="Trebuchet MS"/>
        <family val="2"/>
      </rPr>
      <t xml:space="preserve"> transportados</t>
    </r>
  </si>
  <si>
    <t>Transporte del gas natural en tuberías (con corrección de fugas en sistema)</t>
  </si>
  <si>
    <t>Almacenamiento del gas natural (sin corrección de fugas en sistema)</t>
  </si>
  <si>
    <r>
      <rPr>
        <sz val="10"/>
        <rFont val="Trebuchet MS"/>
        <family val="2"/>
      </rPr>
      <t>m</t>
    </r>
    <r>
      <rPr>
        <vertAlign val="superscript"/>
        <sz val="10"/>
        <rFont val="Trebuchet MS"/>
        <family val="2"/>
      </rPr>
      <t>3</t>
    </r>
    <r>
      <rPr>
        <sz val="10"/>
        <rFont val="Trebuchet MS"/>
        <family val="2"/>
      </rPr>
      <t xml:space="preserve"> almacenados</t>
    </r>
  </si>
  <si>
    <t>Almacenamiento del gas natural (con corrección de fugas en sistema)</t>
  </si>
  <si>
    <t>Distribución y comercialización del gas natural (sin corrección de fugas en sistema)</t>
  </si>
  <si>
    <r>
      <rPr>
        <sz val="10"/>
        <rFont val="Trebuchet MS"/>
        <family val="2"/>
      </rPr>
      <t>m</t>
    </r>
    <r>
      <rPr>
        <vertAlign val="superscript"/>
        <sz val="10"/>
        <rFont val="Trebuchet MS"/>
        <family val="2"/>
      </rPr>
      <t>3</t>
    </r>
    <r>
      <rPr>
        <sz val="10"/>
        <rFont val="Trebuchet MS"/>
        <family val="2"/>
      </rPr>
      <t xml:space="preserve"> comercializados</t>
    </r>
  </si>
  <si>
    <t>Distribución y comercialización del gas natural (con corrección de fugas en sistema)</t>
  </si>
  <si>
    <t>CH4 en Cultivo de arroz</t>
  </si>
  <si>
    <t>Ha inund. x días</t>
  </si>
  <si>
    <r>
      <rPr>
        <sz val="10"/>
        <rFont val="Trebuchet MS"/>
        <family val="2"/>
      </rPr>
      <t>kgCH</t>
    </r>
    <r>
      <rPr>
        <vertAlign val="subscript"/>
        <sz val="11"/>
        <rFont val="Trebuchet MS"/>
        <family val="2"/>
      </rPr>
      <t>4</t>
    </r>
    <r>
      <rPr>
        <sz val="11"/>
        <rFont val="Trebuchet MS"/>
        <family val="2"/>
      </rPr>
      <t>/Ha.inund.xdía</t>
    </r>
  </si>
  <si>
    <t>IPCC 2019</t>
  </si>
  <si>
    <t>Manejo Embalses</t>
  </si>
  <si>
    <t>Estanques o lagos de mas de 20 años</t>
  </si>
  <si>
    <t>Ha inundadas</t>
  </si>
  <si>
    <r>
      <rPr>
        <sz val="10"/>
        <rFont val="Trebuchet MS"/>
        <family val="2"/>
      </rPr>
      <t>kgCH</t>
    </r>
    <r>
      <rPr>
        <vertAlign val="subscript"/>
        <sz val="11"/>
        <rFont val="Trebuchet MS"/>
        <family val="2"/>
      </rPr>
      <t>4</t>
    </r>
    <r>
      <rPr>
        <sz val="11"/>
        <rFont val="Trebuchet MS"/>
        <family val="2"/>
      </rPr>
      <t>/Ha</t>
    </r>
  </si>
  <si>
    <t>kgCO2eq e/t</t>
  </si>
  <si>
    <t>Estanques o lagos salinos (menos de 20 años y salinidad de &gt;18 ppt)</t>
  </si>
  <si>
    <t>Estanques o lagos agua dulce (menos de 20 años y salinidad de &lt;18 ppt)</t>
  </si>
  <si>
    <t>Canales y zanjas inundadas</t>
  </si>
  <si>
    <t>Producción de coque</t>
  </si>
  <si>
    <t>Producción de carbón vegetal</t>
  </si>
  <si>
    <t>Producción de cemento (Clinker)</t>
  </si>
  <si>
    <t>t Clinker</t>
  </si>
  <si>
    <t>kgCO2eq/t Clinker</t>
  </si>
  <si>
    <t>Producción de Cal Viva</t>
  </si>
  <si>
    <t>kgCO2eq/t</t>
  </si>
  <si>
    <t>Producción de Cal Dolomítica</t>
  </si>
  <si>
    <t>Calcinación de Calcita (CaCO3)</t>
  </si>
  <si>
    <t>Calcinación de Magnesita (MgCO3)</t>
  </si>
  <si>
    <t>Calcinación de Dolomita (CaMg(CO3)2)</t>
  </si>
  <si>
    <t>Calcinación de Siderita (FeCO3)</t>
  </si>
  <si>
    <t>Calcinación de Rhodochrosita (MnCO3)</t>
  </si>
  <si>
    <t>Calcinación de Carbonato de sodio (Na2CO3)</t>
  </si>
  <si>
    <t>Calcinación de Ankerita (Ca(Fe,Mg,Mn)(CO3)2)</t>
  </si>
  <si>
    <t>Producción de vidrio plano y recipientes</t>
  </si>
  <si>
    <t>Producción de fibra de vidrio</t>
  </si>
  <si>
    <t>Producción de vidrio especial (vajillas)</t>
  </si>
  <si>
    <t>Producción de vidrio especial (iluminación)</t>
  </si>
  <si>
    <t>Producción de vidrio especial (laboratorio y/o farmacia)</t>
  </si>
  <si>
    <t>Producción de Amoniaco</t>
  </si>
  <si>
    <t>t NH3</t>
  </si>
  <si>
    <t>kgCO2eq/ t NH3</t>
  </si>
  <si>
    <t>Producción Polipropileno (Gases quemados TEA)</t>
  </si>
  <si>
    <t>Análisis estequiométrico</t>
  </si>
  <si>
    <t>Producción de Acido Nítrico</t>
  </si>
  <si>
    <r>
      <rPr>
        <sz val="10"/>
        <rFont val="Trebuchet MS"/>
        <family val="2"/>
      </rPr>
      <t>kgN</t>
    </r>
    <r>
      <rPr>
        <vertAlign val="subscript"/>
        <sz val="10"/>
        <rFont val="Trebuchet MS"/>
        <family val="2"/>
      </rPr>
      <t>2</t>
    </r>
    <r>
      <rPr>
        <sz val="10"/>
        <rFont val="Trebuchet MS"/>
        <family val="2"/>
      </rPr>
      <t>O/t</t>
    </r>
  </si>
  <si>
    <t xml:space="preserve">Vertimientos industriales tratados (PTAR aeróbica) </t>
  </si>
  <si>
    <t>kg DQO</t>
  </si>
  <si>
    <r>
      <rPr>
        <sz val="10"/>
        <rFont val="Trebuchet MS"/>
        <family val="2"/>
      </rPr>
      <t>kgCH</t>
    </r>
    <r>
      <rPr>
        <vertAlign val="subscript"/>
        <sz val="10"/>
        <rFont val="Trebuchet MS"/>
        <family val="2"/>
      </rPr>
      <t>4</t>
    </r>
    <r>
      <rPr>
        <sz val="10"/>
        <rFont val="Trebuchet MS"/>
        <family val="2"/>
      </rPr>
      <t>/kg DQO</t>
    </r>
  </si>
  <si>
    <t xml:space="preserve">Vertimientos industriales tratados (Digestor anaeróbico) </t>
  </si>
  <si>
    <t xml:space="preserve">Vertimientos industriales tratados (Reactor anaeróbico) </t>
  </si>
  <si>
    <t xml:space="preserve">Vertimientos industriales tratados (Laguna anaeróbica &lt; 2 mts) </t>
  </si>
  <si>
    <t xml:space="preserve">Vertimientos industriales tratados (Laguna anaeróbica &gt; 2 mts) </t>
  </si>
  <si>
    <t xml:space="preserve">Vertimientos domésticos tratados (PTAR aeróbica) </t>
  </si>
  <si>
    <t>kg DBO</t>
  </si>
  <si>
    <r>
      <rPr>
        <sz val="10"/>
        <rFont val="Trebuchet MS"/>
        <family val="2"/>
      </rPr>
      <t>kgCH</t>
    </r>
    <r>
      <rPr>
        <vertAlign val="subscript"/>
        <sz val="10"/>
        <rFont val="Trebuchet MS"/>
        <family val="2"/>
      </rPr>
      <t>4</t>
    </r>
    <r>
      <rPr>
        <sz val="10"/>
        <rFont val="Trebuchet MS"/>
        <family val="2"/>
      </rPr>
      <t>/kg DBO</t>
    </r>
  </si>
  <si>
    <t xml:space="preserve">Vertimientos domésticos tratados (Digestor anaeróbico) </t>
  </si>
  <si>
    <t xml:space="preserve">Vertimientos domésticos tratados (Reactor anaeróbico) </t>
  </si>
  <si>
    <t xml:space="preserve">Vertimientos domésticos tratados (Laguna anaeróbica &lt; 2 mts) </t>
  </si>
  <si>
    <t xml:space="preserve">Vertimientos domésticos tratados (Laguna anaeróbica &gt; 2 mts) </t>
  </si>
  <si>
    <t xml:space="preserve">Domésticos - Rellenos sanitario anaeróbico </t>
  </si>
  <si>
    <t xml:space="preserve">Vertimientos domésticos tratados (Sistema séptico) </t>
  </si>
  <si>
    <t>Emisiones CH4 (kgCH4/kg res. húmedo)</t>
  </si>
  <si>
    <t xml:space="preserve">Domésticos - Rellenos sanitario semi-aerobico </t>
  </si>
  <si>
    <t xml:space="preserve">Residuos </t>
  </si>
  <si>
    <t>Tratamiento de lodos orgánicos industriales</t>
  </si>
  <si>
    <t>kgCH4/kg DQO</t>
  </si>
  <si>
    <t>Fracción masa seca</t>
  </si>
  <si>
    <t>Fracción de carbono</t>
  </si>
  <si>
    <t>Fracción carbono fósil</t>
  </si>
  <si>
    <t>factor oxidación</t>
  </si>
  <si>
    <t>FE CO2 kg CO2/kg residuos húmedo</t>
  </si>
  <si>
    <t>COD</t>
  </si>
  <si>
    <t>Relleno Sanitario Anaeróbico</t>
  </si>
  <si>
    <t>Relleno Sanitario Semi-aerobico</t>
  </si>
  <si>
    <t>Botadero &gt;=5mts profundidad</t>
  </si>
  <si>
    <t>Botadero &gt;5mts profundidad</t>
  </si>
  <si>
    <t>No clasificado</t>
  </si>
  <si>
    <t>Promedio</t>
  </si>
  <si>
    <t>Desviación estándar</t>
  </si>
  <si>
    <t>Incertidumbre</t>
  </si>
  <si>
    <t>Domésticos - Botadero &gt; 5mts prof.</t>
  </si>
  <si>
    <t>Tratamiento de lodos orgánicos domésticos</t>
  </si>
  <si>
    <t>Domésticos</t>
  </si>
  <si>
    <t xml:space="preserve">Calculado con las fracciones para Latinoamérica </t>
  </si>
  <si>
    <t>Domésticos - Botadero &lt; 5mts prof.</t>
  </si>
  <si>
    <t>Residuos</t>
  </si>
  <si>
    <t xml:space="preserve">Residuos solidos a relleno sanitario anaeróbico </t>
  </si>
  <si>
    <t>kg húmedo</t>
  </si>
  <si>
    <r>
      <rPr>
        <sz val="10"/>
        <rFont val="Trebuchet MS"/>
        <family val="2"/>
      </rPr>
      <t>kgCH</t>
    </r>
    <r>
      <rPr>
        <vertAlign val="subscript"/>
        <sz val="10"/>
        <rFont val="Trebuchet MS"/>
        <family val="2"/>
      </rPr>
      <t>4</t>
    </r>
    <r>
      <rPr>
        <sz val="10"/>
        <rFont val="Trebuchet MS"/>
        <family val="2"/>
      </rPr>
      <t>/kg húmedo</t>
    </r>
  </si>
  <si>
    <t>Lodos aguas residuales</t>
  </si>
  <si>
    <t>Domésticos - No clasificado</t>
  </si>
  <si>
    <t xml:space="preserve">Residuos solidos a relleno sanitario semiaerobico </t>
  </si>
  <si>
    <t>Hospitalarios</t>
  </si>
  <si>
    <t>Residuos solidos a vertedero &gt;5mts profundidad</t>
  </si>
  <si>
    <t>Industriales</t>
  </si>
  <si>
    <t>Industrias alimentos, bebidas y tabaco</t>
  </si>
  <si>
    <t>Residuos solidos a vertedero &lt;5mts profundidad</t>
  </si>
  <si>
    <t>Desechos fósiles líquidos</t>
  </si>
  <si>
    <t>Industrias textiles</t>
  </si>
  <si>
    <t>Residuos solidos a disposición sin categorizar</t>
  </si>
  <si>
    <t>Inc. Abierta Domésticos</t>
  </si>
  <si>
    <t>Industrias de la Madera y Productos de Madera</t>
  </si>
  <si>
    <t xml:space="preserve">Lodos aguas residuales a relleno sanitario anaeróbico </t>
  </si>
  <si>
    <t xml:space="preserve">Industrias de Pulpa y Papel (o relacionadas) </t>
  </si>
  <si>
    <t>Residuos solidos hospital a relleno sanitario anaeróbico</t>
  </si>
  <si>
    <t xml:space="preserve">Industrias del caucho (o relacionadas) </t>
  </si>
  <si>
    <t>Residuos solidos alimentos a relleno sanitario anaeróbico</t>
  </si>
  <si>
    <t xml:space="preserve">Industrias de construcción y demolición </t>
  </si>
  <si>
    <t>Residuos solidos textil a relleno sanitario anaeróbico</t>
  </si>
  <si>
    <t>Otras industrias (incluye manufactureras)</t>
  </si>
  <si>
    <t>Residuos solidos madera a relleno sanitario anaeróbico</t>
  </si>
  <si>
    <t>Residuos solidos pulpa y papel a relleno sanitario anaeróbico</t>
  </si>
  <si>
    <t>Residuos solidos caucho a relleno sanitario anaeróbico</t>
  </si>
  <si>
    <t>Factor T</t>
  </si>
  <si>
    <t>Residuos solidos construcción a relleno sanitario anaeróbico</t>
  </si>
  <si>
    <t>Residuos solidos otras industrias a relleno sanitario anaeróbico</t>
  </si>
  <si>
    <t>Quema a cielo abierto residuos solidos Domésticos</t>
  </si>
  <si>
    <t>kg res. húmedo</t>
  </si>
  <si>
    <r>
      <rPr>
        <sz val="10"/>
        <rFont val="Trebuchet MS"/>
        <family val="2"/>
      </rPr>
      <t>kgN</t>
    </r>
    <r>
      <rPr>
        <vertAlign val="subscript"/>
        <sz val="10"/>
        <rFont val="Trebuchet MS"/>
        <family val="2"/>
      </rPr>
      <t>2</t>
    </r>
    <r>
      <rPr>
        <sz val="10"/>
        <rFont val="Trebuchet MS"/>
        <family val="2"/>
      </rPr>
      <t>O/kg húmedo</t>
    </r>
  </si>
  <si>
    <t>kgCO2eq/kg húmedo</t>
  </si>
  <si>
    <t>Incineración controlada residuos solidos Domésticos (continua-cargador mecánico)</t>
  </si>
  <si>
    <t>Incineración controlada residuos solidos Domésticos (continua-lecho fluidizado)</t>
  </si>
  <si>
    <t>Incineración controlada residuos solidos Domésticos (por lotes-cargador mecánico)</t>
  </si>
  <si>
    <t>Incineración controlada residuos solidos Domésticos (por lotes-lecho fluidizado)</t>
  </si>
  <si>
    <t>Incineración controlada residuos solidos industriales (continua-cargador mecánico)</t>
  </si>
  <si>
    <t>Incineración controlada residuos solidos industriales (continua-lecho fluidizado)</t>
  </si>
  <si>
    <t>Incineración controlada residuos solidos industriales (por lotes-cargador mecánico)</t>
  </si>
  <si>
    <t>Incineración controlada residuos solidos industriales (por lotes-lecho fluidizado)</t>
  </si>
  <si>
    <t>Incineración controlada residuos solidos hospitalarios (continua-cargador mecánico)</t>
  </si>
  <si>
    <t>Incineración controlada residuos solidos hospitalarios (continua-lecho fluidizado)</t>
  </si>
  <si>
    <t>Incineración controlada residuos solidos hospitalarios (por lotes-cargador mecánico)</t>
  </si>
  <si>
    <t>Incineración controlada residuos solidos hospitalarios (por lotes-lecho fluidizado)</t>
  </si>
  <si>
    <t>Incineración controlada residuos solidos lodos aguas residuales (continua-cargador mecánico)</t>
  </si>
  <si>
    <t>Incineración controlada residuos solidos lodos aguas residuales (continua-lecho fluidizado)</t>
  </si>
  <si>
    <t>Incineración controlada residuos solidos lodos aguas residuales (por lotes-cargador mecánico)</t>
  </si>
  <si>
    <t>Incineración controlada residuos solidos lodos aguas residuales (por lotes-lecho fluidizado)</t>
  </si>
  <si>
    <t>Incineración controlada residuos líquidos fósiles (continua-cargador mecánico)</t>
  </si>
  <si>
    <t>Incineración controlada residuos líquidos fósiles (continua-lecho fluidizado)</t>
  </si>
  <si>
    <t>Incineración controlada residuos líquidos fósiles (por lotes-cargador mecánico)</t>
  </si>
  <si>
    <t>Incineración controlada residuos líquidos fósiles (por lotes-lecho fluidizado)</t>
  </si>
  <si>
    <r>
      <rPr>
        <sz val="11"/>
        <color theme="0"/>
        <rFont val="Trebuchet MS"/>
        <family val="2"/>
      </rPr>
      <t>CH</t>
    </r>
    <r>
      <rPr>
        <vertAlign val="subscript"/>
        <sz val="11"/>
        <color theme="0"/>
        <rFont val="Trebuchet MS"/>
        <family val="2"/>
      </rPr>
      <t>4</t>
    </r>
  </si>
  <si>
    <t>CO2eq e (21)</t>
  </si>
  <si>
    <t>CO2eq e (25)</t>
  </si>
  <si>
    <t xml:space="preserve">Fermentación Entérica </t>
  </si>
  <si>
    <t>Factor Emisión CH4 (kg CO2eq/kg)</t>
  </si>
  <si>
    <t>kgCH4/cabeza/año</t>
  </si>
  <si>
    <t>kgCO2eq e/cabeza</t>
  </si>
  <si>
    <t>Ganado vacuno lechero</t>
  </si>
  <si>
    <t>Cabezas</t>
  </si>
  <si>
    <r>
      <rPr>
        <sz val="10"/>
        <rFont val="Trebuchet MS"/>
        <family val="2"/>
      </rPr>
      <t>kgCH</t>
    </r>
    <r>
      <rPr>
        <vertAlign val="subscript"/>
        <sz val="11"/>
        <rFont val="Trebuchet MS"/>
        <family val="2"/>
      </rPr>
      <t>4</t>
    </r>
    <r>
      <rPr>
        <sz val="11"/>
        <rFont val="Trebuchet MS"/>
        <family val="2"/>
      </rPr>
      <t>/cabeza</t>
    </r>
  </si>
  <si>
    <t>Ganado vacuno no lechero</t>
  </si>
  <si>
    <t>Búfalos</t>
  </si>
  <si>
    <t>Ovejas</t>
  </si>
  <si>
    <t>Cabras</t>
  </si>
  <si>
    <t>Caballos</t>
  </si>
  <si>
    <t>Mulas y Asnos</t>
  </si>
  <si>
    <t>Cerdos</t>
  </si>
  <si>
    <t>Conejos</t>
  </si>
  <si>
    <t>Pollos de engorde</t>
  </si>
  <si>
    <t>Wang SY; Huang DJ</t>
  </si>
  <si>
    <t>Emisiones de N2O según tipo de Gestión (kg N2O/cabeza*año)</t>
  </si>
  <si>
    <t>Emisiones de CH4 según tipo de Gestión (kg CH4/cabeza*año)</t>
  </si>
  <si>
    <t>CH4</t>
  </si>
  <si>
    <t>N2O</t>
  </si>
  <si>
    <t>TIPO DE ANIMAL</t>
  </si>
  <si>
    <r>
      <rPr>
        <sz val="11"/>
        <color theme="0"/>
        <rFont val="Trebuchet MS"/>
        <family val="2"/>
      </rPr>
      <t>FACTOR  DE EMISIÓN CH</t>
    </r>
    <r>
      <rPr>
        <vertAlign val="subscript"/>
        <sz val="11"/>
        <color theme="0"/>
        <rFont val="Trebuchet MS"/>
        <family val="2"/>
      </rPr>
      <t>4</t>
    </r>
  </si>
  <si>
    <t>FACTOR EMISIÓN CO2eq e</t>
  </si>
  <si>
    <t>N Excretado</t>
  </si>
  <si>
    <t>% N según Sistema de Manejo</t>
  </si>
  <si>
    <t>N Excretado por Sistema de Manejo</t>
  </si>
  <si>
    <r>
      <rPr>
        <sz val="11"/>
        <color theme="0"/>
        <rFont val="Trebuchet MS"/>
        <family val="2"/>
      </rPr>
      <t>Factor de Emisión N</t>
    </r>
    <r>
      <rPr>
        <vertAlign val="subscript"/>
        <sz val="11"/>
        <color theme="0"/>
        <rFont val="Trebuchet MS"/>
        <family val="2"/>
      </rPr>
      <t>2</t>
    </r>
    <r>
      <rPr>
        <sz val="11"/>
        <color theme="0"/>
        <rFont val="Trebuchet MS"/>
        <family val="2"/>
      </rPr>
      <t>O</t>
    </r>
  </si>
  <si>
    <r>
      <rPr>
        <sz val="11"/>
        <color theme="0"/>
        <rFont val="Trebuchet MS"/>
        <family val="2"/>
      </rPr>
      <t>Emisiones de N</t>
    </r>
    <r>
      <rPr>
        <vertAlign val="subscript"/>
        <sz val="11"/>
        <color theme="0"/>
        <rFont val="Trebuchet MS"/>
        <family val="2"/>
      </rPr>
      <t>2</t>
    </r>
    <r>
      <rPr>
        <sz val="11"/>
        <color theme="0"/>
        <rFont val="Trebuchet MS"/>
        <family val="2"/>
      </rPr>
      <t>O</t>
    </r>
  </si>
  <si>
    <t>FACTRO DE EMISION CO2eq e TOTAL</t>
  </si>
  <si>
    <t>Datos IPCC 2006 (kg CH4/cabeza*año)</t>
  </si>
  <si>
    <t>Datos calculados a partir de IPCC 2006 (Nivel 2 con datos por defecto)  kg CH4/cabeza*año</t>
  </si>
  <si>
    <t>Factor Emisión CH4 (kg CO2eq/unidad)</t>
  </si>
  <si>
    <t>Factor Emisión N2O (kg CO2eq/unidad)</t>
  </si>
  <si>
    <t>Índice</t>
  </si>
  <si>
    <t>TAM</t>
  </si>
  <si>
    <t>Pastura/prado</t>
  </si>
  <si>
    <t>Distribución diaria</t>
  </si>
  <si>
    <t>Almacenamiento solido</t>
  </si>
  <si>
    <t>Corral engorde</t>
  </si>
  <si>
    <t>Liquido/fango</t>
  </si>
  <si>
    <t>Lagunas anaeróbicas</t>
  </si>
  <si>
    <t>Almacenamiento en pozos y camas profundas &lt; 1 mes</t>
  </si>
  <si>
    <t>Almacenamiento en pozos y camas profundas &gt; 1 mes</t>
  </si>
  <si>
    <t>Digestor Anaeróbico</t>
  </si>
  <si>
    <t>Quemado para combustible</t>
  </si>
  <si>
    <t>Compostaje en Tambor y pilas estáticas</t>
  </si>
  <si>
    <t>Compostaje pilas con volteo intensivo o regular</t>
  </si>
  <si>
    <t>Camas de aves de corral con hojarasca</t>
  </si>
  <si>
    <t>Tratamientos aeróbicos</t>
  </si>
  <si>
    <t>Disposición como solido en pasturas o prados</t>
  </si>
  <si>
    <t xml:space="preserve">Disposición en sistemas de base liquida (incluidas lagunas anaeróbicas) </t>
  </si>
  <si>
    <t>Disposición en sistemas liquido/fango</t>
  </si>
  <si>
    <t>Incertidumbre FE (+/- %)</t>
  </si>
  <si>
    <t>Vs</t>
  </si>
  <si>
    <t>Bo</t>
  </si>
  <si>
    <t>Ganado Lechero - Clima Frío</t>
  </si>
  <si>
    <t>Cabeza</t>
  </si>
  <si>
    <r>
      <rPr>
        <sz val="10"/>
        <rFont val="Trebuchet MS"/>
        <family val="2"/>
      </rPr>
      <t>kgN</t>
    </r>
    <r>
      <rPr>
        <vertAlign val="subscript"/>
        <sz val="11"/>
        <rFont val="Trebuchet MS"/>
        <family val="2"/>
      </rPr>
      <t>2</t>
    </r>
    <r>
      <rPr>
        <sz val="11"/>
        <rFont val="Trebuchet MS"/>
        <family val="2"/>
      </rPr>
      <t>O/cabeza</t>
    </r>
  </si>
  <si>
    <t>Ganado No Lechero - Clima Frío</t>
  </si>
  <si>
    <t>kgCO2eq e/Cabeza</t>
  </si>
  <si>
    <t>Ganado Lechero - Clima Templado</t>
  </si>
  <si>
    <t>Ganado No Lechero - Clima Templado</t>
  </si>
  <si>
    <t>Ganado Lechero - Clima Cálido</t>
  </si>
  <si>
    <t>Ganado No Lechero - Clima Cálido</t>
  </si>
  <si>
    <t>Aves de Corral - Clima Frío</t>
  </si>
  <si>
    <t>NA</t>
  </si>
  <si>
    <t>Ave</t>
  </si>
  <si>
    <t>kgCO2eq e/Ave</t>
  </si>
  <si>
    <t>Aves de Corral - Clima Templado</t>
  </si>
  <si>
    <t>Aves de Corral - Clima Cálido</t>
  </si>
  <si>
    <t>Ovejas - Clima Frío</t>
  </si>
  <si>
    <t>Ovejas - Clima Templado</t>
  </si>
  <si>
    <t>Ovejas - Clima Cálido</t>
  </si>
  <si>
    <t>Porcinos de carne - Clima Frío</t>
  </si>
  <si>
    <t>Cerdos Almacenamiento Sólido y Parcelas Secas - Clima Frío</t>
  </si>
  <si>
    <t>Porcinos de carne - Clima Templado</t>
  </si>
  <si>
    <t>Cerdos Almacenamiento Sólido y Parcelas Secas - Clima Templado</t>
  </si>
  <si>
    <t>Porcinos de carne - Clima Cálido</t>
  </si>
  <si>
    <t>Cerdos Almacenamiento Sólido y Parcelas Secas - Clima Cálido</t>
  </si>
  <si>
    <t>Porcinos de Cría - Clima Frío</t>
  </si>
  <si>
    <t>Cerdos Otros Sistemas de Manejo del Estiércol - Clima Frío</t>
  </si>
  <si>
    <t>Porcinos de Cría - Clima Templado</t>
  </si>
  <si>
    <t>Cerdos Otros Sistemas de Manejo del Estiércol - Clima Templado</t>
  </si>
  <si>
    <t>Porcinos de Cría - Clima Cálido</t>
  </si>
  <si>
    <t>Cerdos Otros Sistemas de Manejo del Estiércol - Clima Cálido</t>
  </si>
  <si>
    <t>Búfalos - Clima Frío</t>
  </si>
  <si>
    <t>Búfalos - Clima Templado</t>
  </si>
  <si>
    <t>Búfalos - Clima Cálido</t>
  </si>
  <si>
    <t>Cabras - Clima Frío</t>
  </si>
  <si>
    <t>Cabras - Clima Templado</t>
  </si>
  <si>
    <t>Cabras - Clima Cálido</t>
  </si>
  <si>
    <t>Caballos - Clima Frío</t>
  </si>
  <si>
    <t>Caballos - Clima Templado</t>
  </si>
  <si>
    <t>Caballos - Clima Cálido</t>
  </si>
  <si>
    <t>Mulas y Asnos - Clima Frío</t>
  </si>
  <si>
    <t>Mulas y Asnos - Clima Templado</t>
  </si>
  <si>
    <t>Mulas y Asnos - Clima Cálido</t>
  </si>
  <si>
    <t>Conejos - Clima Frío</t>
  </si>
  <si>
    <t>Conejos - Clima Templado</t>
  </si>
  <si>
    <t>kgCO2eq e/kg</t>
  </si>
  <si>
    <t>Cant.</t>
  </si>
  <si>
    <t>fracc oxidada</t>
  </si>
  <si>
    <t>C</t>
  </si>
  <si>
    <t>FE</t>
  </si>
  <si>
    <t>FE total</t>
  </si>
  <si>
    <t>Conejos - Clima Cálido</t>
  </si>
  <si>
    <t>Residuos Agrícolas</t>
  </si>
  <si>
    <t>Avestruces - Clima Frío</t>
  </si>
  <si>
    <t>Factor Emisión N2O (kg CO2eq/kg)</t>
  </si>
  <si>
    <t>Avestruces - Clima Templado</t>
  </si>
  <si>
    <t>Avestruces - Clima Cálido</t>
  </si>
  <si>
    <t>Compostaje de materia orgánica (base seca)</t>
  </si>
  <si>
    <t xml:space="preserve">kg seco </t>
  </si>
  <si>
    <r>
      <rPr>
        <sz val="10"/>
        <rFont val="Trebuchet MS"/>
        <family val="2"/>
      </rPr>
      <t>kgCH</t>
    </r>
    <r>
      <rPr>
        <vertAlign val="subscript"/>
        <sz val="11"/>
        <rFont val="Trebuchet MS"/>
        <family val="2"/>
      </rPr>
      <t>4</t>
    </r>
    <r>
      <rPr>
        <sz val="11"/>
        <rFont val="Trebuchet MS"/>
        <family val="2"/>
      </rPr>
      <t>/kg</t>
    </r>
  </si>
  <si>
    <r>
      <rPr>
        <sz val="10"/>
        <rFont val="Trebuchet MS"/>
        <family val="2"/>
      </rPr>
      <t>kgN</t>
    </r>
    <r>
      <rPr>
        <vertAlign val="subscript"/>
        <sz val="11"/>
        <rFont val="Trebuchet MS"/>
        <family val="2"/>
      </rPr>
      <t>2</t>
    </r>
    <r>
      <rPr>
        <sz val="11"/>
        <rFont val="Trebuchet MS"/>
        <family val="2"/>
      </rPr>
      <t>O/kg</t>
    </r>
  </si>
  <si>
    <t>Compostaje de materia orgánica (base húmeda)</t>
  </si>
  <si>
    <t>Digestión anaeróbica en instalaciones de biogás (base seca)</t>
  </si>
  <si>
    <t>Poder calorífico biogás (TJ/Gg) IPCC 2006</t>
  </si>
  <si>
    <t>Poder calorífico biogás (MJ/m3) FECOC 2016</t>
  </si>
  <si>
    <t>Densidad Calculada del Biogás (kg CH4/m3 CH4)</t>
  </si>
  <si>
    <t>Digestión anaeróbica en instalaciones de biogás  (base húmeda)</t>
  </si>
  <si>
    <t>Fugas de metano en proceso de captura (solamente cuando hay captura de biogás)</t>
  </si>
  <si>
    <r>
      <rPr>
        <sz val="10"/>
        <rFont val="Trebuchet MS"/>
        <family val="2"/>
      </rPr>
      <t>m</t>
    </r>
    <r>
      <rPr>
        <vertAlign val="superscript"/>
        <sz val="10"/>
        <rFont val="Trebuchet MS"/>
        <family val="2"/>
      </rPr>
      <t>3</t>
    </r>
    <r>
      <rPr>
        <sz val="10"/>
        <rFont val="Trebuchet MS"/>
        <family val="2"/>
      </rPr>
      <t xml:space="preserve"> Biogás</t>
    </r>
  </si>
  <si>
    <r>
      <rPr>
        <sz val="10"/>
        <rFont val="Trebuchet MS"/>
        <family val="2"/>
      </rPr>
      <t>kgCH</t>
    </r>
    <r>
      <rPr>
        <vertAlign val="subscript"/>
        <sz val="10"/>
        <rFont val="Trebuchet MS"/>
        <family val="2"/>
      </rPr>
      <t>4</t>
    </r>
    <r>
      <rPr>
        <sz val="10"/>
        <rFont val="Trebuchet MS"/>
        <family val="2"/>
      </rPr>
      <t>/m</t>
    </r>
    <r>
      <rPr>
        <vertAlign val="superscript"/>
        <sz val="10"/>
        <rFont val="Trebuchet MS"/>
        <family val="2"/>
      </rPr>
      <t>3</t>
    </r>
    <r>
      <rPr>
        <sz val="10"/>
        <rFont val="Trebuchet MS"/>
        <family val="2"/>
      </rPr>
      <t xml:space="preserve"> Biogás</t>
    </r>
  </si>
  <si>
    <t>kgN2O/m3 Biogás</t>
  </si>
  <si>
    <t>Quema de Residuos Agrícolas</t>
  </si>
  <si>
    <t>Quema de Residuos Pastizales</t>
  </si>
  <si>
    <t>N-C</t>
  </si>
  <si>
    <t xml:space="preserve">Uso fertilizantes </t>
  </si>
  <si>
    <t>Uso de fertilizantes sintéticos (climas húmedos)</t>
  </si>
  <si>
    <r>
      <rPr>
        <sz val="10"/>
        <rFont val="Trebuchet MS"/>
        <family val="2"/>
      </rPr>
      <t>kg N</t>
    </r>
    <r>
      <rPr>
        <vertAlign val="subscript"/>
        <sz val="10"/>
        <rFont val="Trebuchet MS"/>
        <family val="2"/>
      </rPr>
      <t>2</t>
    </r>
  </si>
  <si>
    <r>
      <rPr>
        <sz val="10"/>
        <rFont val="Trebuchet MS"/>
        <family val="2"/>
      </rPr>
      <t>kgN</t>
    </r>
    <r>
      <rPr>
        <vertAlign val="subscript"/>
        <sz val="11"/>
        <rFont val="Trebuchet MS"/>
        <family val="2"/>
      </rPr>
      <t>2</t>
    </r>
    <r>
      <rPr>
        <sz val="11"/>
        <rFont val="Trebuchet MS"/>
        <family val="2"/>
      </rPr>
      <t>O/kgN</t>
    </r>
    <r>
      <rPr>
        <vertAlign val="subscript"/>
        <sz val="11"/>
        <rFont val="Trebuchet MS"/>
        <family val="2"/>
      </rPr>
      <t>2</t>
    </r>
  </si>
  <si>
    <t>Uso de fertilizantes orgánicos y residuos agrícolas (climas húmedos)</t>
  </si>
  <si>
    <t>Uso de fertilizantes minerales, abonos orgánicos y residuos agrícolas (climas secos)</t>
  </si>
  <si>
    <t>Fertilización directa de vacunos, aves de corral y porcinos (climas húmedos)</t>
  </si>
  <si>
    <t>Fertilización directa de vacunos, aves de corral y porcinos (climas secos)</t>
  </si>
  <si>
    <t>Fertilización directa de ovinos y otros animales</t>
  </si>
  <si>
    <t>Uso de fertilizantes aplicados en arrozales inundados</t>
  </si>
  <si>
    <t>kgCO2eq e/kgN2</t>
  </si>
  <si>
    <t>Caliza cálcica aplicada (CaCO3)</t>
  </si>
  <si>
    <t>kg Cal</t>
  </si>
  <si>
    <t>kgCO2eq/kg cal</t>
  </si>
  <si>
    <t>Cal Dolomita Aplicada (CaMg(CO3)2)</t>
  </si>
  <si>
    <t>Fertilización con Urea (CO(NH2)2)</t>
  </si>
  <si>
    <t>kg urea</t>
  </si>
  <si>
    <t>kgCO2eq/kg urea</t>
  </si>
  <si>
    <t>kg de N</t>
  </si>
  <si>
    <t>KgCO2eq e/kg N</t>
  </si>
  <si>
    <t>fracción volatiza</t>
  </si>
  <si>
    <t>kgN2O/kg N</t>
  </si>
  <si>
    <t>PCG</t>
  </si>
  <si>
    <t>Uso de fertilizantes sintéticos</t>
  </si>
  <si>
    <t>Electricidad</t>
  </si>
  <si>
    <t>Consumo de energía eléctrica 2025</t>
  </si>
  <si>
    <t>KWh</t>
  </si>
  <si>
    <t>kgCO2eq e/KWh</t>
  </si>
  <si>
    <t>SNE</t>
  </si>
  <si>
    <t>Consumo de energía eléctrica 2024</t>
  </si>
  <si>
    <t>Consumo de energía eléctrica 2023</t>
  </si>
  <si>
    <t>Consumo de energía eléctrica 2022</t>
  </si>
  <si>
    <t>Consumo de energía eléctrica 2021</t>
  </si>
  <si>
    <t>No. Datos</t>
  </si>
  <si>
    <t>AR5</t>
  </si>
  <si>
    <t>AR4</t>
  </si>
  <si>
    <t>SR</t>
  </si>
  <si>
    <t>GEI</t>
  </si>
  <si>
    <t>PCG-GWP</t>
  </si>
  <si>
    <t>CO2eq</t>
  </si>
  <si>
    <t>ND</t>
  </si>
  <si>
    <t>NF3</t>
  </si>
  <si>
    <t>HERRAMIENTA DE REPORTE DE ACCIONES DE MITIGACIÓN, REMOCIONES Y PROYECTOS DE COMPENSACIÓN USADOS DE RTH CORPORATIVO - CARBONO</t>
  </si>
  <si>
    <t>Fecha inicio operaciones 
(dd/mm/aa)</t>
  </si>
  <si>
    <t>Descripción de la Acción</t>
  </si>
  <si>
    <t>Descripción de la información de respaldo y Declaración de Verificación (adjunto)</t>
  </si>
  <si>
    <t>Descripción de la remoción</t>
  </si>
  <si>
    <t>Descripción de  Declaración de Verificación (adjunto)</t>
  </si>
  <si>
    <t xml:space="preserve">Remoción realizada </t>
  </si>
  <si>
    <t>t CO2 eq</t>
  </si>
  <si>
    <t xml:space="preserve">Nombre del Proyecto de Compensación </t>
  </si>
  <si>
    <t>Fecha inicio de proyecto
(dd/mm/aa)</t>
  </si>
  <si>
    <t>Vida util del proyecto (años)</t>
  </si>
  <si>
    <t>Descripción de comprobante de compra y Declaración de Verificación (adjunto)</t>
  </si>
  <si>
    <t>TOTAL COMPENSACIONES</t>
  </si>
  <si>
    <t>Reducciones Certificadas de Emisiones (CER)</t>
  </si>
  <si>
    <t>Reduccion de Emisiones Voluntaria (VER)</t>
  </si>
  <si>
    <t>Unidades Verificadas de Carbono (VCU)</t>
  </si>
  <si>
    <t>ALCANCE</t>
  </si>
  <si>
    <t>FUENTES</t>
  </si>
  <si>
    <r>
      <t>EMISIONES CO</t>
    </r>
    <r>
      <rPr>
        <b/>
        <vertAlign val="subscript"/>
        <sz val="12"/>
        <rFont val="Avenir Next LT Pro"/>
        <family val="2"/>
      </rPr>
      <t>2</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</si>
  <si>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EMISIONES CH</t>
    </r>
    <r>
      <rPr>
        <b/>
        <vertAlign val="subscript"/>
        <sz val="12"/>
        <rFont val="Avenir Next LT Pro"/>
        <family val="2"/>
      </rPr>
      <t>4</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</si>
  <si>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EMISIONES N</t>
    </r>
    <r>
      <rPr>
        <b/>
        <vertAlign val="subscript"/>
        <sz val="12"/>
        <rFont val="Avenir Next LT Pro"/>
        <family val="2"/>
      </rPr>
      <t>2</t>
    </r>
    <r>
      <rPr>
        <b/>
        <sz val="12"/>
        <rFont val="Avenir Next LT Pro"/>
        <family val="2"/>
      </rPr>
      <t>O 
(t CO</t>
    </r>
    <r>
      <rPr>
        <b/>
        <vertAlign val="subscript"/>
        <sz val="12"/>
        <rFont val="Avenir Next LT Pro"/>
        <family val="2"/>
      </rPr>
      <t xml:space="preserve">2 </t>
    </r>
    <r>
      <rPr>
        <b/>
        <sz val="12"/>
        <rFont val="Avenir Next LT Pro"/>
        <family val="2"/>
      </rPr>
      <t>eq/año)</t>
    </r>
  </si>
  <si>
    <r>
      <t>EMISIONES HFC
(t CO</t>
    </r>
    <r>
      <rPr>
        <b/>
        <vertAlign val="subscript"/>
        <sz val="12"/>
        <rFont val="Avenir Next LT Pro"/>
        <family val="2"/>
      </rPr>
      <t xml:space="preserve">2 </t>
    </r>
    <r>
      <rPr>
        <b/>
        <sz val="12"/>
        <rFont val="Avenir Next LT Pro"/>
        <family val="2"/>
      </rPr>
      <t>eq/año)</t>
    </r>
  </si>
  <si>
    <r>
      <t>EMISIONES PFC
(t CO</t>
    </r>
    <r>
      <rPr>
        <b/>
        <vertAlign val="subscript"/>
        <sz val="12"/>
        <rFont val="Avenir Next LT Pro"/>
        <family val="2"/>
      </rPr>
      <t xml:space="preserve">2 </t>
    </r>
    <r>
      <rPr>
        <b/>
        <sz val="12"/>
        <rFont val="Avenir Next LT Pro"/>
        <family val="2"/>
      </rPr>
      <t>eq/año)</t>
    </r>
  </si>
  <si>
    <r>
      <t>EMISIONES SF</t>
    </r>
    <r>
      <rPr>
        <b/>
        <vertAlign val="subscript"/>
        <sz val="12"/>
        <rFont val="Avenir Next LT Pro"/>
        <family val="2"/>
      </rPr>
      <t>6</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</si>
  <si>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HUELLA CARBONO TOTAL
(t CO</t>
    </r>
    <r>
      <rPr>
        <b/>
        <vertAlign val="subscript"/>
        <sz val="12"/>
        <rFont val="Avenir Next LT Pro"/>
        <family val="2"/>
      </rPr>
      <t xml:space="preserve">2 </t>
    </r>
    <r>
      <rPr>
        <b/>
        <sz val="12"/>
        <rFont val="Avenir Next LT Pro"/>
        <family val="2"/>
      </rPr>
      <t>eq/año)</t>
    </r>
  </si>
  <si>
    <t>% DEL TOTAL</t>
  </si>
  <si>
    <t>INCERTIDUMBRE %</t>
  </si>
  <si>
    <t>Emsiones Fugitivas</t>
  </si>
  <si>
    <t>Emisiones de Proceso</t>
  </si>
  <si>
    <t>SUBTOTAL</t>
  </si>
  <si>
    <t>Energía Adquirida</t>
  </si>
  <si>
    <t>TOTAL HUELLA CARBONO ORGANIZACIONAL</t>
  </si>
  <si>
    <t>REMOCIÓN Y/O COMPENSACIÓN</t>
  </si>
  <si>
    <r>
      <t>HUELLA CARBONO TOTAL
(t CO</t>
    </r>
    <r>
      <rPr>
        <b/>
        <vertAlign val="subscript"/>
        <sz val="12"/>
        <rFont val="Avenir Next LT Pro"/>
        <family val="2"/>
      </rPr>
      <t>2</t>
    </r>
    <r>
      <rPr>
        <b/>
        <sz val="12"/>
        <rFont val="Avenir Next LT Pro"/>
        <family val="2"/>
      </rPr>
      <t>eq/año)</t>
    </r>
  </si>
  <si>
    <t>% DEL TOTAL DE EMISIONES DE GEI</t>
  </si>
  <si>
    <t>TOTAL REMOCIÓN</t>
  </si>
  <si>
    <t>TOTAL COMPENSACIÓN</t>
  </si>
  <si>
    <r>
      <t>Emisiones CO</t>
    </r>
    <r>
      <rPr>
        <b/>
        <vertAlign val="subscript"/>
        <sz val="12"/>
        <color theme="1"/>
        <rFont val="Avenir Next LT Pro"/>
        <family val="2"/>
      </rPr>
      <t>2</t>
    </r>
    <r>
      <rPr>
        <b/>
        <sz val="12"/>
        <color theme="1"/>
        <rFont val="Avenir Next LT Pro"/>
        <family val="2"/>
      </rPr>
      <t xml:space="preserve"> biogénicas:</t>
    </r>
  </si>
  <si>
    <t xml:space="preserve">ALCANCE </t>
  </si>
  <si>
    <r>
      <t>CANTIDAD
(t CO</t>
    </r>
    <r>
      <rPr>
        <b/>
        <vertAlign val="subscript"/>
        <sz val="12"/>
        <rFont val="Avenir Next LT Pro"/>
        <family val="2"/>
      </rPr>
      <t>2</t>
    </r>
    <r>
      <rPr>
        <b/>
        <sz val="12"/>
        <rFont val="Avenir Next LT Pro"/>
        <family val="2"/>
      </rPr>
      <t>)</t>
    </r>
  </si>
  <si>
    <t>Fuentes Moviles</t>
  </si>
  <si>
    <t>Otras Fuentes</t>
  </si>
  <si>
    <t>Total Emisiones Biogénicas</t>
  </si>
  <si>
    <t>Emisiones discriminadas por alcance:</t>
  </si>
  <si>
    <r>
      <t>CANTIDAD
(t CO</t>
    </r>
    <r>
      <rPr>
        <b/>
        <vertAlign val="subscript"/>
        <sz val="12"/>
        <rFont val="Avenir Next LT Pro"/>
        <family val="2"/>
      </rPr>
      <t>2</t>
    </r>
    <r>
      <rPr>
        <b/>
        <sz val="12"/>
        <rFont val="Avenir Next LT Pro"/>
        <family val="2"/>
      </rPr>
      <t>eq)</t>
    </r>
  </si>
  <si>
    <t>Alcance 1</t>
  </si>
  <si>
    <t>Alcance 2</t>
  </si>
  <si>
    <t>TOTAL HC</t>
  </si>
  <si>
    <t>Emisiones Directas (Alcance 1) discriminadas por GEI:</t>
  </si>
  <si>
    <t xml:space="preserve">GAS EFECTO INVERNADERO (GEI) </t>
  </si>
  <si>
    <t>CANTIDAD GEI
(t GEI/AÑO)</t>
  </si>
  <si>
    <r>
      <t>EMISIONES ALCANCE 1
(t CO</t>
    </r>
    <r>
      <rPr>
        <b/>
        <vertAlign val="subscript"/>
        <sz val="12"/>
        <rFont val="Avenir Next LT Pro"/>
        <family val="2"/>
      </rPr>
      <t>2</t>
    </r>
    <r>
      <rPr>
        <b/>
        <sz val="12"/>
        <rFont val="Avenir Next LT Pro"/>
        <family val="2"/>
      </rPr>
      <t>eq/año)</t>
    </r>
  </si>
  <si>
    <t>% DEL ALCANCE 1</t>
  </si>
  <si>
    <r>
      <t>CO</t>
    </r>
    <r>
      <rPr>
        <b/>
        <vertAlign val="subscript"/>
        <sz val="12"/>
        <color theme="1"/>
        <rFont val="Avenir Next LT Pro"/>
        <family val="2"/>
      </rPr>
      <t>2</t>
    </r>
  </si>
  <si>
    <r>
      <t>CH</t>
    </r>
    <r>
      <rPr>
        <b/>
        <vertAlign val="subscript"/>
        <sz val="12"/>
        <color theme="1"/>
        <rFont val="Avenir Next LT Pro"/>
        <family val="2"/>
      </rPr>
      <t>4</t>
    </r>
  </si>
  <si>
    <r>
      <t>N</t>
    </r>
    <r>
      <rPr>
        <b/>
        <vertAlign val="subscript"/>
        <sz val="12"/>
        <color theme="1"/>
        <rFont val="Avenir Next LT Pro"/>
        <family val="2"/>
      </rPr>
      <t>2</t>
    </r>
    <r>
      <rPr>
        <b/>
        <sz val="12"/>
        <color theme="1"/>
        <rFont val="Avenir Next LT Pro"/>
        <family val="2"/>
      </rPr>
      <t>O</t>
    </r>
  </si>
  <si>
    <t>No aplica</t>
  </si>
  <si>
    <t>PFC</t>
  </si>
  <si>
    <r>
      <t>SF</t>
    </r>
    <r>
      <rPr>
        <b/>
        <vertAlign val="subscript"/>
        <sz val="12"/>
        <color theme="1"/>
        <rFont val="Avenir Next LT Pro"/>
        <family val="2"/>
      </rPr>
      <t>6</t>
    </r>
  </si>
  <si>
    <t>Emisiones Totales discriminadas por GEI:</t>
  </si>
  <si>
    <r>
      <t>EMISIONES TOTALES
(t CO</t>
    </r>
    <r>
      <rPr>
        <b/>
        <vertAlign val="subscript"/>
        <sz val="12"/>
        <rFont val="Avenir Next LT Pro"/>
        <family val="2"/>
      </rPr>
      <t>2</t>
    </r>
    <r>
      <rPr>
        <b/>
        <sz val="12"/>
        <rFont val="Avenir Next LT Pro"/>
        <family val="2"/>
      </rPr>
      <t>eq/año)</t>
    </r>
  </si>
  <si>
    <t xml:space="preserve">TOTAL ALCANCES 1 y 2 </t>
  </si>
  <si>
    <t>CREDITOS:</t>
  </si>
  <si>
    <t>Ministerio de Ambiente de la Republica de Panamá - MiAMBIENTE</t>
  </si>
  <si>
    <t>Juan Carlos Navarro - Ministro de Ambiente</t>
  </si>
  <si>
    <t>Oscar Vallarino - Viceministro de Ambiente</t>
  </si>
  <si>
    <t>Juan Carlos Monterrey - Director de Cambio Climático</t>
  </si>
  <si>
    <t>Javier Martínez - Jefe del Departamento de Mitigación</t>
  </si>
  <si>
    <t>Coordinación técnica:
Carolina Velásquez 
Ana Him</t>
  </si>
  <si>
    <t>Colaboradores (versiones anteriores):</t>
  </si>
  <si>
    <t>Colaboradores V1.0 - 2024:</t>
  </si>
  <si>
    <t>César Carreño</t>
  </si>
  <si>
    <t>Gabriela Santamaría</t>
  </si>
  <si>
    <t>Javier Martínez</t>
  </si>
  <si>
    <t>Carlos Clement</t>
  </si>
  <si>
    <t>Kevin Polo</t>
  </si>
  <si>
    <t>Centro de Colaboración Regional RCC - Panamá</t>
  </si>
  <si>
    <t xml:space="preserve">Carlos Ruiz Garvia - Coordinador RCC Panamá
</t>
  </si>
  <si>
    <t xml:space="preserve">Daniel Galván Pérez - Oficial Técnico  RCC Panamá 
</t>
  </si>
  <si>
    <t>Consultoría:</t>
  </si>
  <si>
    <t>WERD</t>
  </si>
  <si>
    <t>Desarrollo de herramienta de calculo de emisiones: William E. Rodríguez Delgado (willirodel@gmail.com)</t>
  </si>
  <si>
    <t>Herramienta verificada por:</t>
  </si>
  <si>
    <t>Ruby Canyon México</t>
  </si>
  <si>
    <t>Ciudad de Panamá, Panamá (2021)</t>
  </si>
  <si>
    <t>Revision de Modificaciones en Versiones</t>
  </si>
  <si>
    <t>Versión</t>
  </si>
  <si>
    <t>Cambios realizados</t>
  </si>
  <si>
    <t>Versión original</t>
  </si>
  <si>
    <t>22/06/2021</t>
  </si>
  <si>
    <t>Versión con FE de Alcance 2 actualizados</t>
  </si>
  <si>
    <t>23/07/2021</t>
  </si>
  <si>
    <t>Versión corregida</t>
  </si>
  <si>
    <t>Versión con FE de Alcance 2 actualizada para 2021</t>
  </si>
  <si>
    <t>17/11/2022</t>
  </si>
  <si>
    <t>Versión con corrección de las emisiones para SF6</t>
  </si>
  <si>
    <t>25/08/2023</t>
  </si>
  <si>
    <t>Versión con FE de Alcance 2 actualizada para 2022</t>
  </si>
  <si>
    <t>29/08/2023</t>
  </si>
  <si>
    <t>13/08/2024</t>
  </si>
  <si>
    <t>Versión con FE de Alcance 2 actualizada para 2023 y corrección del FE de Alcance 2 para 2022</t>
  </si>
  <si>
    <t>Clave desbloqueo:</t>
  </si>
  <si>
    <t>CALCULO FACTOR DE EMISIÓN - MANEJO DE ESTIERCOL</t>
  </si>
  <si>
    <r>
      <rPr>
        <b/>
        <sz val="11"/>
        <color theme="1"/>
        <rFont val="Calibri"/>
        <family val="2"/>
        <scheme val="minor"/>
      </rPr>
      <t>CH</t>
    </r>
    <r>
      <rPr>
        <b/>
        <vertAlign val="subscript"/>
        <sz val="11"/>
        <color theme="1"/>
        <rFont val="Calibri"/>
        <family val="2"/>
        <scheme val="minor"/>
      </rPr>
      <t>4</t>
    </r>
  </si>
  <si>
    <r>
      <rPr>
        <b/>
        <sz val="11"/>
        <color theme="1"/>
        <rFont val="Calibri"/>
        <family val="2"/>
        <scheme val="minor"/>
      </rPr>
      <t>N</t>
    </r>
    <r>
      <rPr>
        <b/>
        <vertAlign val="subscript"/>
        <sz val="11"/>
        <color theme="1"/>
        <rFont val="Calibri"/>
        <family val="2"/>
        <scheme val="minor"/>
      </rPr>
      <t>2</t>
    </r>
    <r>
      <rPr>
        <b/>
        <sz val="11"/>
        <color theme="1"/>
        <rFont val="Calibri"/>
        <family val="2"/>
        <scheme val="minor"/>
      </rPr>
      <t>O</t>
    </r>
  </si>
  <si>
    <t>ExF</t>
  </si>
  <si>
    <t>GxHx44/28</t>
  </si>
  <si>
    <r>
      <rPr>
        <sz val="11"/>
        <color theme="1"/>
        <rFont val="Calibri"/>
        <family val="2"/>
        <scheme val="minor"/>
      </rPr>
      <t>FACTOR  DE EMISIÓN CH</t>
    </r>
    <r>
      <rPr>
        <vertAlign val="subscript"/>
        <sz val="11"/>
        <color theme="1"/>
        <rFont val="Calibri"/>
        <family val="2"/>
        <scheme val="minor"/>
      </rPr>
      <t>4</t>
    </r>
  </si>
  <si>
    <r>
      <rPr>
        <sz val="11"/>
        <color theme="1"/>
        <rFont val="Calibri"/>
        <family val="2"/>
        <scheme val="minor"/>
      </rPr>
      <t>FACTOR EMISIÓN CO</t>
    </r>
    <r>
      <rPr>
        <vertAlign val="subscript"/>
        <sz val="11"/>
        <color theme="1"/>
        <rFont val="Calibri"/>
        <family val="2"/>
        <scheme val="minor"/>
      </rPr>
      <t>2</t>
    </r>
    <r>
      <rPr>
        <sz val="11"/>
        <color theme="1"/>
        <rFont val="Calibri"/>
        <family val="2"/>
        <scheme val="minor"/>
      </rPr>
      <t xml:space="preserve"> e</t>
    </r>
  </si>
  <si>
    <r>
      <rPr>
        <sz val="11"/>
        <color theme="1"/>
        <rFont val="Calibri"/>
        <family val="2"/>
        <scheme val="minor"/>
      </rPr>
      <t>Factor de Emisión N</t>
    </r>
    <r>
      <rPr>
        <vertAlign val="subscript"/>
        <sz val="11"/>
        <color theme="1"/>
        <rFont val="Calibri"/>
        <family val="2"/>
        <scheme val="minor"/>
      </rPr>
      <t>2</t>
    </r>
    <r>
      <rPr>
        <sz val="11"/>
        <color theme="1"/>
        <rFont val="Calibri"/>
        <family val="2"/>
        <scheme val="minor"/>
      </rPr>
      <t>O</t>
    </r>
  </si>
  <si>
    <r>
      <rPr>
        <sz val="11"/>
        <color theme="1"/>
        <rFont val="Calibri"/>
        <family val="2"/>
        <scheme val="minor"/>
      </rPr>
      <t>Emisiones de N</t>
    </r>
    <r>
      <rPr>
        <vertAlign val="subscript"/>
        <sz val="11"/>
        <color theme="1"/>
        <rFont val="Calibri"/>
        <family val="2"/>
        <scheme val="minor"/>
      </rPr>
      <t>2</t>
    </r>
    <r>
      <rPr>
        <sz val="11"/>
        <color theme="1"/>
        <rFont val="Calibri"/>
        <family val="2"/>
        <scheme val="minor"/>
      </rPr>
      <t>O</t>
    </r>
  </si>
  <si>
    <r>
      <rPr>
        <sz val="11"/>
        <color theme="1"/>
        <rFont val="Calibri"/>
        <family val="2"/>
        <scheme val="minor"/>
      </rPr>
      <t>FACTRO DE EMISION CO</t>
    </r>
    <r>
      <rPr>
        <vertAlign val="subscript"/>
        <sz val="11"/>
        <color theme="1"/>
        <rFont val="Calibri"/>
        <family val="2"/>
        <scheme val="minor"/>
      </rPr>
      <t>2</t>
    </r>
    <r>
      <rPr>
        <sz val="11"/>
        <color theme="1"/>
        <rFont val="Calibri"/>
        <family val="2"/>
        <scheme val="minor"/>
      </rPr>
      <t xml:space="preserve"> e TOTAL</t>
    </r>
  </si>
  <si>
    <t>Ovejas - Clima Tempaldo</t>
  </si>
  <si>
    <t>Cerdos Almacenamiento Sólido y Parcelas Secas - Clima Tempaldo</t>
  </si>
  <si>
    <t>Cerdos Otros Sistemas de Manejo del Estiercol - Clima Frío</t>
  </si>
  <si>
    <t>Cerdos Otros Sistemas de Manejo del Estiercol - Clima Tempaldo</t>
  </si>
  <si>
    <t>Cerdos Otros Sistemas de Manejo del Estiercol - Clima Cálido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</si>
</sst>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000000"/>
    <numFmt numFmtId="165" formatCode="0.0000000"/>
    <numFmt numFmtId="166" formatCode="0.000"/>
    <numFmt numFmtId="167" formatCode="0.000000"/>
    <numFmt numFmtId="168" formatCode="#,##0.0000"/>
    <numFmt numFmtId="169" formatCode="&quot;+/- &quot;0.00%"/>
    <numFmt numFmtId="170" formatCode="0.0000"/>
    <numFmt numFmtId="171" formatCode="_-&quot;$&quot;* #,##0.00_-;\-&quot;$&quot;* #,##0.00_-;_-&quot;$&quot;* &quot;-&quot;??_-;_-@_-"/>
    <numFmt numFmtId="172" formatCode="&quot;+/- &quot;0.0%"/>
    <numFmt numFmtId="173" formatCode="_(* #,##0.0_);_(* \(#,##0.0\);_(* &quot;-&quot;??_);_(@_)"/>
    <numFmt numFmtId="174" formatCode="0.00000"/>
    <numFmt numFmtId="175" formatCode="_(&quot;$&quot;* #,##0_);_(&quot;$&quot;* \(#,##0\);_(&quot;$&quot;* &quot;-&quot;_);_(@_)"/>
    <numFmt numFmtId="176" formatCode="_ [$€-2]\ * #,##0.00_ ;_ [$€-2]\ * \-#,##0.00_ ;_ [$€-2]\ * &quot;-&quot;??_ "/>
    <numFmt numFmtId="177" formatCode="_(* #,##0.00_);_(* \(#,##0.00\);_(* &quot;-&quot;??_);_(@_)"/>
  </numFmts>
  <fonts count="78">
    <font>
      <sz val="11"/>
      <color theme="1"/>
      <name val="Calibri"/>
      <charset val="134"/>
      <scheme val="minor"/>
    </font>
    <font>
      <sz val="11"/>
      <color theme="1"/>
      <name val="Calibri"/>
      <family val="2"/>
      <scheme val="minor"/>
    </font>
    <font>
      <b/>
      <sz val="11"/>
      <color theme="1"/>
      <name val="Calibri"/>
      <family val="2"/>
      <scheme val="minor"/>
    </font>
    <font>
      <sz val="12"/>
      <color theme="1"/>
      <name val="Calibri"/>
      <family val="2"/>
      <scheme val="minor"/>
    </font>
    <font>
      <sz val="12"/>
      <color theme="1"/>
      <name val="Avenir Next LT Pro"/>
      <family val="2"/>
    </font>
    <font>
      <sz val="12"/>
      <color theme="0"/>
      <name val="Avenir Next LT Pro"/>
      <family val="2"/>
    </font>
    <font>
      <sz val="12"/>
      <name val="Calibri"/>
      <family val="2"/>
      <scheme val="minor"/>
    </font>
    <font>
      <sz val="11"/>
      <color theme="1"/>
      <name val="Trebuchet MS"/>
      <family val="2"/>
    </font>
    <font>
      <sz val="11"/>
      <name val="Trebuchet MS"/>
      <family val="2"/>
    </font>
    <font>
      <sz val="11"/>
      <color theme="0"/>
      <name val="Trebuchet MS"/>
      <family val="2"/>
    </font>
    <font>
      <sz val="11"/>
      <color rgb="FFFF0000"/>
      <name val="Trebuchet MS"/>
      <family val="2"/>
    </font>
    <font>
      <b/>
      <sz val="18"/>
      <name val="Avenir Next LT Pro"/>
      <family val="2"/>
    </font>
    <font>
      <b/>
      <sz val="11"/>
      <name val="Avenir Next LT Pro"/>
      <family val="2"/>
    </font>
    <font>
      <sz val="11"/>
      <color theme="1"/>
      <name val="Avenir Next LT Pro"/>
      <family val="2"/>
    </font>
    <font>
      <b/>
      <sz val="11"/>
      <color theme="1"/>
      <name val="Avenir Next LT Pro"/>
      <family val="2"/>
    </font>
    <font>
      <sz val="11"/>
      <color theme="0"/>
      <name val="Avenir Next LT Pro"/>
      <family val="2"/>
    </font>
    <font>
      <b/>
      <sz val="11"/>
      <name val="Trebuchet MS"/>
      <family val="2"/>
    </font>
    <font>
      <sz val="11"/>
      <color theme="0" tint="-0.34998626667073579"/>
      <name val="Trebuchet MS"/>
      <family val="2"/>
    </font>
    <font>
      <sz val="10"/>
      <color theme="0"/>
      <name val="Trebuchet MS"/>
      <family val="2"/>
    </font>
    <font>
      <b/>
      <sz val="10"/>
      <name val="Trebuchet MS"/>
      <family val="2"/>
    </font>
    <font>
      <sz val="10"/>
      <name val="Trebuchet MS"/>
      <family val="2"/>
    </font>
    <font>
      <sz val="10"/>
      <color rgb="FFFF0000"/>
      <name val="Trebuchet MS"/>
      <family val="2"/>
    </font>
    <font>
      <u/>
      <sz val="11"/>
      <name val="Trebuchet MS"/>
      <family val="2"/>
    </font>
    <font>
      <b/>
      <sz val="11"/>
      <color theme="0"/>
      <name val="Trebuchet MS"/>
      <family val="2"/>
    </font>
    <font>
      <b/>
      <sz val="11"/>
      <color rgb="FFFF0000"/>
      <name val="Trebuchet MS"/>
      <family val="2"/>
    </font>
    <font>
      <sz val="11"/>
      <color theme="3"/>
      <name val="Trebuchet MS"/>
      <family val="2"/>
    </font>
    <font>
      <b/>
      <sz val="11"/>
      <color theme="3"/>
      <name val="Trebuchet MS"/>
      <family val="2"/>
    </font>
    <font>
      <b/>
      <sz val="11"/>
      <color rgb="FF00B050"/>
      <name val="Trebuchet MS"/>
      <family val="2"/>
    </font>
    <font>
      <sz val="11"/>
      <color rgb="FF00B050"/>
      <name val="Trebuchet MS"/>
      <family val="2"/>
    </font>
    <font>
      <sz val="11"/>
      <color rgb="FF0070C0"/>
      <name val="Trebuchet MS"/>
      <family val="2"/>
    </font>
    <font>
      <b/>
      <sz val="11"/>
      <color rgb="FF0070C0"/>
      <name val="Trebuchet MS"/>
      <family val="2"/>
    </font>
    <font>
      <sz val="12"/>
      <name val="Arial Narrow"/>
      <family val="2"/>
    </font>
    <font>
      <sz val="11"/>
      <color rgb="FF000000"/>
      <name val="Avenir Next LT Pro"/>
      <family val="2"/>
    </font>
    <font>
      <sz val="8"/>
      <color theme="1"/>
      <name val="Avenir Next LT Pro"/>
      <family val="2"/>
    </font>
    <font>
      <sz val="11"/>
      <color theme="1"/>
      <name val="Calibri"/>
      <family val="2"/>
      <scheme val="minor"/>
    </font>
    <font>
      <sz val="10"/>
      <name val="Arial"/>
      <family val="2"/>
    </font>
    <font>
      <u/>
      <sz val="11"/>
      <color theme="10"/>
      <name val="Calibri"/>
      <family val="2"/>
    </font>
    <font>
      <sz val="11"/>
      <color indexed="8"/>
      <name val="Calibri"/>
      <family val="2"/>
    </font>
    <font>
      <sz val="10"/>
      <name val="Times New Roman"/>
      <family val="1"/>
    </font>
    <font>
      <u/>
      <sz val="10"/>
      <color indexed="12"/>
      <name val="MS Sans Serif"/>
      <charset val="134"/>
    </font>
    <font>
      <sz val="10"/>
      <name val="MS Sans Serif"/>
      <charset val="134"/>
    </font>
    <font>
      <b/>
      <vertAlign val="subscript"/>
      <sz val="11"/>
      <color theme="1"/>
      <name val="Calibri"/>
      <family val="2"/>
      <scheme val="minor"/>
    </font>
    <font>
      <vertAlign val="subscript"/>
      <sz val="11"/>
      <color theme="1"/>
      <name val="Calibri"/>
      <family val="2"/>
      <scheme val="minor"/>
    </font>
    <font>
      <vertAlign val="subscript"/>
      <sz val="10"/>
      <name val="Trebuchet MS"/>
      <family val="2"/>
    </font>
    <font>
      <vertAlign val="superscript"/>
      <sz val="10"/>
      <name val="Trebuchet MS"/>
      <family val="2"/>
    </font>
    <font>
      <vertAlign val="subscript"/>
      <sz val="11"/>
      <name val="Trebuchet MS"/>
      <family val="2"/>
    </font>
    <font>
      <vertAlign val="superscript"/>
      <sz val="11"/>
      <name val="Trebuchet MS"/>
      <family val="2"/>
    </font>
    <font>
      <vertAlign val="subscript"/>
      <sz val="11"/>
      <color theme="0"/>
      <name val="Trebuchet MS"/>
      <family val="2"/>
    </font>
    <font>
      <sz val="9"/>
      <name val="Tahoma"/>
      <family val="2"/>
    </font>
    <font>
      <b/>
      <sz val="9"/>
      <name val="Tahoma"/>
      <family val="2"/>
    </font>
    <font>
      <b/>
      <sz val="20"/>
      <name val="Avenir Next LT Pro"/>
      <family val="2"/>
    </font>
    <font>
      <sz val="10"/>
      <name val="Avenir Next LT Pro"/>
      <family val="2"/>
    </font>
    <font>
      <b/>
      <sz val="10"/>
      <name val="Avenir Next LT Pro"/>
      <family val="2"/>
    </font>
    <font>
      <vertAlign val="subscript"/>
      <sz val="10"/>
      <name val="Avenir Next LT Pro"/>
      <family val="2"/>
    </font>
    <font>
      <sz val="10"/>
      <color theme="1"/>
      <name val="Avenir Next LT Pro"/>
      <family val="2"/>
    </font>
    <font>
      <sz val="9"/>
      <name val="Avenir Next LT Pro"/>
      <family val="2"/>
    </font>
    <font>
      <sz val="11"/>
      <name val="Avenir Next LT Pro"/>
      <family val="2"/>
    </font>
    <font>
      <b/>
      <sz val="14"/>
      <color theme="0"/>
      <name val="Avenir Next LT Pro"/>
      <family val="2"/>
    </font>
    <font>
      <b/>
      <sz val="14"/>
      <color theme="1"/>
      <name val="Avenir Next LT Pro"/>
      <family val="2"/>
    </font>
    <font>
      <b/>
      <sz val="12"/>
      <color theme="1"/>
      <name val="Avenir Next LT Pro"/>
      <family val="2"/>
    </font>
    <font>
      <b/>
      <sz val="12"/>
      <color theme="0"/>
      <name val="Avenir Next LT Pro"/>
      <family val="2"/>
    </font>
    <font>
      <u/>
      <sz val="18"/>
      <color theme="10"/>
      <name val="Avenir Next LT Pro"/>
      <family val="2"/>
    </font>
    <font>
      <b/>
      <sz val="9"/>
      <color theme="1"/>
      <name val="Avenir Next LT Pro"/>
      <family val="2"/>
    </font>
    <font>
      <u/>
      <sz val="11"/>
      <color theme="10"/>
      <name val="Avenir Next LT Pro"/>
      <family val="2"/>
    </font>
    <font>
      <b/>
      <sz val="24"/>
      <name val="Avenir Next LT Pro"/>
      <family val="2"/>
    </font>
    <font>
      <b/>
      <sz val="12"/>
      <name val="Avenir Next LT Pro"/>
      <family val="2"/>
    </font>
    <font>
      <b/>
      <vertAlign val="subscript"/>
      <sz val="11"/>
      <name val="Avenir Next LT Pro"/>
      <family val="2"/>
    </font>
    <font>
      <b/>
      <vertAlign val="subscript"/>
      <sz val="10"/>
      <name val="Avenir Next LT Pro"/>
      <family val="2"/>
    </font>
    <font>
      <vertAlign val="subscript"/>
      <sz val="11"/>
      <name val="Avenir Next LT Pro"/>
      <family val="2"/>
    </font>
    <font>
      <b/>
      <sz val="16"/>
      <name val="Avenir Next LT Pro"/>
      <family val="2"/>
    </font>
    <font>
      <b/>
      <sz val="16"/>
      <color theme="0"/>
      <name val="Avenir Next LT Pro"/>
      <family val="2"/>
    </font>
    <font>
      <b/>
      <sz val="22"/>
      <name val="Avenir Next LT Pro"/>
      <family val="2"/>
    </font>
    <font>
      <b/>
      <sz val="10"/>
      <color theme="1"/>
      <name val="Avenir Next LT Pro"/>
      <family val="2"/>
    </font>
    <font>
      <b/>
      <sz val="14"/>
      <name val="Avenir Next LT Pro"/>
      <family val="2"/>
    </font>
    <font>
      <sz val="14"/>
      <name val="Avenir Next LT Pro"/>
      <family val="2"/>
    </font>
    <font>
      <b/>
      <vertAlign val="subscript"/>
      <sz val="12"/>
      <name val="Avenir Next LT Pro"/>
      <family val="2"/>
    </font>
    <font>
      <b/>
      <vertAlign val="subscript"/>
      <sz val="12"/>
      <color theme="1"/>
      <name val="Avenir Next LT Pro"/>
      <family val="2"/>
    </font>
    <font>
      <sz val="12"/>
      <name val="Avenir Next LT Pro"/>
      <family val="2"/>
    </font>
  </fonts>
  <fills count="7">
    <fill>
      <patternFill patternType="none"/>
    </fill>
    <fill>
      <patternFill patternType="gray125"/>
    </fill>
    <fill>
      <patternFill patternType="solid">
        <fgColor theme="0"/>
        <bgColor indexed="64"/>
      </patternFill>
    </fill>
    <fill>
      <patternFill patternType="solid">
        <fgColor rgb="FFDAF0F2"/>
        <bgColor indexed="64"/>
      </patternFill>
    </fill>
    <fill>
      <patternFill patternType="solid">
        <fgColor rgb="FF2FB9CE"/>
        <bgColor indexed="64"/>
      </patternFill>
    </fill>
    <fill>
      <patternFill patternType="solid">
        <fgColor rgb="FFEFECEA"/>
        <bgColor indexed="64"/>
      </patternFill>
    </fill>
    <fill>
      <patternFill patternType="solid">
        <fgColor theme="6" tint="0.79995117038483843"/>
        <bgColor indexed="64"/>
      </patternFill>
    </fill>
  </fills>
  <borders count="55">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thin">
        <color auto="1"/>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top style="medium">
        <color auto="1"/>
      </top>
      <bottom/>
      <diagonal/>
    </border>
  </borders>
  <cellStyleXfs count="27">
    <xf numFmtId="0" fontId="0" fillId="0" borderId="0"/>
    <xf numFmtId="9" fontId="35" fillId="0" borderId="0" applyFont="0" applyFill="0" applyBorder="0" applyAlignment="0" applyProtection="0"/>
    <xf numFmtId="0" fontId="35" fillId="0" borderId="0"/>
    <xf numFmtId="0" fontId="35" fillId="0" borderId="0"/>
    <xf numFmtId="0" fontId="35" fillId="0" borderId="0"/>
    <xf numFmtId="0" fontId="34" fillId="0" borderId="0"/>
    <xf numFmtId="171" fontId="34" fillId="0" borderId="0" applyFont="0" applyFill="0" applyBorder="0" applyAlignment="0" applyProtection="0"/>
    <xf numFmtId="43" fontId="34" fillId="0" borderId="0" applyFont="0" applyFill="0" applyBorder="0" applyAlignment="0" applyProtection="0"/>
    <xf numFmtId="177" fontId="34" fillId="0" borderId="0" applyFont="0" applyFill="0" applyBorder="0" applyAlignment="0" applyProtection="0"/>
    <xf numFmtId="177" fontId="37" fillId="0" borderId="0" applyFont="0" applyFill="0" applyBorder="0" applyAlignment="0" applyProtection="0"/>
    <xf numFmtId="43" fontId="34" fillId="0" borderId="0" applyFont="0" applyFill="0" applyBorder="0" applyAlignment="0" applyProtection="0"/>
    <xf numFmtId="43" fontId="35" fillId="0" borderId="0" applyFont="0" applyFill="0" applyBorder="0" applyAlignment="0" applyProtection="0"/>
    <xf numFmtId="9" fontId="35" fillId="0" borderId="0" applyFont="0" applyFill="0" applyBorder="0" applyAlignment="0" applyProtection="0"/>
    <xf numFmtId="177" fontId="35" fillId="0" borderId="0" applyFont="0" applyFill="0" applyBorder="0" applyAlignment="0" applyProtection="0"/>
    <xf numFmtId="0" fontId="39" fillId="0" borderId="0" applyNumberFormat="0" applyFill="0" applyBorder="0" applyAlignment="0" applyProtection="0"/>
    <xf numFmtId="0" fontId="37" fillId="0" borderId="0"/>
    <xf numFmtId="0" fontId="35" fillId="0" borderId="0"/>
    <xf numFmtId="9" fontId="37" fillId="0" borderId="0" applyFont="0" applyFill="0" applyBorder="0" applyAlignment="0" applyProtection="0"/>
    <xf numFmtId="0" fontId="36" fillId="0" borderId="0" applyNumberFormat="0" applyFill="0" applyBorder="0" applyAlignment="0" applyProtection="0">
      <alignment vertical="top"/>
      <protection locked="0"/>
    </xf>
    <xf numFmtId="9" fontId="34" fillId="0" borderId="0" applyFont="0" applyFill="0" applyBorder="0" applyAlignment="0" applyProtection="0"/>
    <xf numFmtId="0" fontId="40" fillId="0" borderId="0"/>
    <xf numFmtId="175" fontId="38" fillId="0" borderId="0" applyFont="0" applyFill="0" applyBorder="0" applyAlignment="0" applyProtection="0"/>
    <xf numFmtId="176" fontId="35" fillId="0" borderId="0" applyFont="0" applyFill="0" applyBorder="0" applyAlignment="0" applyProtection="0"/>
    <xf numFmtId="0" fontId="35" fillId="0" borderId="0"/>
    <xf numFmtId="177" fontId="34" fillId="0" borderId="0" applyFont="0" applyFill="0" applyBorder="0" applyAlignment="0" applyProtection="0"/>
    <xf numFmtId="0" fontId="38" fillId="0" borderId="0"/>
    <xf numFmtId="0" fontId="35" fillId="0" borderId="0"/>
  </cellStyleXfs>
  <cellXfs count="696">
    <xf numFmtId="0" fontId="0" fillId="0" borderId="0" xfId="0"/>
    <xf numFmtId="0" fontId="2"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2" fontId="0" fillId="0" borderId="0" xfId="0" applyNumberFormat="1"/>
    <xf numFmtId="0" fontId="0" fillId="0" borderId="0" xfId="0" applyAlignment="1">
      <alignment vertical="center" wrapText="1"/>
    </xf>
    <xf numFmtId="177" fontId="0" fillId="0" borderId="0" xfId="24" applyFont="1"/>
    <xf numFmtId="173" fontId="0" fillId="0" borderId="0" xfId="0" applyNumberFormat="1"/>
    <xf numFmtId="0" fontId="3" fillId="2" borderId="0" xfId="0" applyFont="1" applyFill="1"/>
    <xf numFmtId="10" fontId="3" fillId="2" borderId="0" xfId="0" applyNumberFormat="1" applyFont="1" applyFill="1"/>
    <xf numFmtId="0" fontId="3" fillId="0" borderId="0" xfId="0" applyFont="1"/>
    <xf numFmtId="0" fontId="4" fillId="2" borderId="0" xfId="0" applyFont="1" applyFill="1"/>
    <xf numFmtId="10" fontId="4" fillId="2" borderId="0" xfId="0" applyNumberFormat="1" applyFont="1" applyFill="1"/>
    <xf numFmtId="0" fontId="5" fillId="2" borderId="0" xfId="0" applyFont="1" applyFill="1"/>
    <xf numFmtId="0" fontId="6" fillId="2" borderId="0" xfId="0" applyFont="1" applyFill="1" applyAlignment="1">
      <alignment horizontal="center" vertical="center"/>
    </xf>
    <xf numFmtId="4" fontId="3" fillId="0" borderId="0" xfId="0" applyNumberFormat="1" applyFont="1"/>
    <xf numFmtId="0" fontId="5" fillId="2" borderId="0" xfId="0" applyFont="1" applyFill="1" applyAlignment="1">
      <alignment horizontal="left"/>
    </xf>
    <xf numFmtId="0" fontId="3" fillId="2" borderId="0" xfId="0" applyFont="1" applyFill="1" applyAlignment="1">
      <alignment horizontal="left"/>
    </xf>
    <xf numFmtId="0" fontId="6" fillId="2" borderId="0" xfId="0" applyFont="1" applyFill="1"/>
    <xf numFmtId="0" fontId="7" fillId="2" borderId="0" xfId="0" applyFont="1" applyFill="1"/>
    <xf numFmtId="0" fontId="8" fillId="2" borderId="0" xfId="0" applyFont="1" applyFill="1" applyAlignment="1">
      <alignment horizontal="center" vertical="center"/>
    </xf>
    <xf numFmtId="0" fontId="8" fillId="2" borderId="0" xfId="0" applyFont="1" applyFill="1" applyAlignment="1">
      <alignment horizontal="center"/>
    </xf>
    <xf numFmtId="0" fontId="9" fillId="2" borderId="0" xfId="0" applyFont="1" applyFill="1" applyAlignment="1">
      <alignment horizontal="center" vertical="center"/>
    </xf>
    <xf numFmtId="10" fontId="9" fillId="2" borderId="0" xfId="0" applyNumberFormat="1" applyFont="1" applyFill="1"/>
    <xf numFmtId="0" fontId="9" fillId="2" borderId="0" xfId="0" applyFont="1" applyFill="1"/>
    <xf numFmtId="0" fontId="10" fillId="2" borderId="0" xfId="0" applyFont="1" applyFill="1"/>
    <xf numFmtId="0" fontId="13" fillId="2" borderId="0" xfId="0" applyFont="1" applyFill="1"/>
    <xf numFmtId="4" fontId="7" fillId="2" borderId="0" xfId="0" applyNumberFormat="1" applyFont="1" applyFill="1"/>
    <xf numFmtId="4" fontId="13" fillId="2" borderId="0" xfId="0" applyNumberFormat="1" applyFont="1" applyFill="1"/>
    <xf numFmtId="4" fontId="13" fillId="2" borderId="0" xfId="0" applyNumberFormat="1" applyFont="1" applyFill="1" applyAlignment="1">
      <alignment horizontal="justify" vertical="center"/>
    </xf>
    <xf numFmtId="0" fontId="11" fillId="2" borderId="0" xfId="0" applyFont="1" applyFill="1" applyAlignment="1">
      <alignment vertical="center" wrapText="1"/>
    </xf>
    <xf numFmtId="0" fontId="12" fillId="2" borderId="0" xfId="0" applyFont="1" applyFill="1" applyAlignment="1">
      <alignment vertical="center"/>
    </xf>
    <xf numFmtId="10" fontId="15" fillId="2" borderId="0" xfId="0" applyNumberFormat="1" applyFont="1" applyFill="1"/>
    <xf numFmtId="0" fontId="15" fillId="2" borderId="0" xfId="0" applyFont="1" applyFill="1"/>
    <xf numFmtId="0" fontId="16" fillId="2" borderId="0" xfId="0" applyFont="1" applyFill="1" applyAlignment="1">
      <alignment horizontal="center" vertical="center"/>
    </xf>
    <xf numFmtId="0" fontId="7" fillId="0" borderId="0" xfId="0" applyFont="1"/>
    <xf numFmtId="0" fontId="8" fillId="0" borderId="0" xfId="0" applyFont="1"/>
    <xf numFmtId="0" fontId="9" fillId="0" borderId="0" xfId="0" applyFont="1"/>
    <xf numFmtId="0" fontId="10" fillId="0" borderId="0" xfId="0" applyFont="1"/>
    <xf numFmtId="10" fontId="7" fillId="0" borderId="0" xfId="19" applyNumberFormat="1" applyFont="1" applyBorder="1" applyProtection="1"/>
    <xf numFmtId="177" fontId="7" fillId="0" borderId="0" xfId="24" applyFont="1" applyBorder="1" applyAlignment="1" applyProtection="1">
      <alignment horizontal="center"/>
    </xf>
    <xf numFmtId="2" fontId="7" fillId="0" borderId="0" xfId="0" applyNumberFormat="1" applyFont="1"/>
    <xf numFmtId="174" fontId="7" fillId="0" borderId="0" xfId="0" applyNumberFormat="1" applyFont="1"/>
    <xf numFmtId="177" fontId="7" fillId="0" borderId="0" xfId="24" applyFont="1" applyBorder="1" applyAlignment="1" applyProtection="1"/>
    <xf numFmtId="167" fontId="7" fillId="0" borderId="0" xfId="0" applyNumberFormat="1" applyFont="1"/>
    <xf numFmtId="0" fontId="17" fillId="2" borderId="0" xfId="0" applyFont="1" applyFill="1"/>
    <xf numFmtId="0" fontId="8" fillId="0" borderId="0" xfId="0" applyFont="1" applyAlignment="1">
      <alignment horizontal="center"/>
    </xf>
    <xf numFmtId="10" fontId="8" fillId="0" borderId="0" xfId="0" applyNumberFormat="1" applyFont="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10" fontId="9" fillId="0" borderId="0" xfId="0" applyNumberFormat="1" applyFont="1"/>
    <xf numFmtId="1" fontId="13" fillId="2" borderId="0" xfId="0" applyNumberFormat="1" applyFont="1" applyFill="1"/>
    <xf numFmtId="10" fontId="13" fillId="2" borderId="0" xfId="19" applyNumberFormat="1" applyFont="1" applyFill="1" applyBorder="1" applyProtection="1"/>
    <xf numFmtId="10" fontId="13" fillId="2" borderId="0" xfId="0" applyNumberFormat="1" applyFont="1" applyFill="1"/>
    <xf numFmtId="177" fontId="13" fillId="2" borderId="0" xfId="24" applyFont="1" applyFill="1" applyBorder="1" applyAlignment="1" applyProtection="1">
      <alignment horizontal="center"/>
    </xf>
    <xf numFmtId="2" fontId="13" fillId="2" borderId="0" xfId="0" applyNumberFormat="1" applyFont="1" applyFill="1"/>
    <xf numFmtId="174" fontId="13" fillId="2" borderId="0" xfId="0" applyNumberFormat="1" applyFont="1" applyFill="1"/>
    <xf numFmtId="177" fontId="13" fillId="2" borderId="0" xfId="24" applyFont="1" applyFill="1" applyBorder="1" applyAlignment="1" applyProtection="1"/>
    <xf numFmtId="167" fontId="13" fillId="2" borderId="0" xfId="0" applyNumberFormat="1" applyFont="1" applyFill="1"/>
    <xf numFmtId="0" fontId="8" fillId="2" borderId="0" xfId="0" applyFont="1" applyFill="1"/>
    <xf numFmtId="10" fontId="8" fillId="2" borderId="0" xfId="0" applyNumberFormat="1" applyFont="1" applyFill="1" applyAlignment="1">
      <alignment horizontal="center"/>
    </xf>
    <xf numFmtId="0" fontId="13" fillId="0" borderId="0" xfId="0" applyFont="1"/>
    <xf numFmtId="4" fontId="13" fillId="0" borderId="0" xfId="0" applyNumberFormat="1" applyFont="1"/>
    <xf numFmtId="4" fontId="7" fillId="0" borderId="0" xfId="0" applyNumberFormat="1" applyFont="1"/>
    <xf numFmtId="1" fontId="13" fillId="0" borderId="0" xfId="0" applyNumberFormat="1" applyFont="1"/>
    <xf numFmtId="1" fontId="7" fillId="0" borderId="0" xfId="0" applyNumberFormat="1" applyFont="1"/>
    <xf numFmtId="10" fontId="13" fillId="0" borderId="0" xfId="19" applyNumberFormat="1" applyFont="1" applyBorder="1" applyProtection="1"/>
    <xf numFmtId="10" fontId="13" fillId="0" borderId="0" xfId="0" applyNumberFormat="1" applyFont="1"/>
    <xf numFmtId="177" fontId="13" fillId="0" borderId="0" xfId="24" applyFont="1" applyBorder="1" applyAlignment="1" applyProtection="1">
      <alignment horizontal="center"/>
    </xf>
    <xf numFmtId="10" fontId="7" fillId="0" borderId="0" xfId="0" applyNumberFormat="1" applyFont="1"/>
    <xf numFmtId="2" fontId="13" fillId="0" borderId="0" xfId="0" applyNumberFormat="1" applyFont="1"/>
    <xf numFmtId="174" fontId="13" fillId="0" borderId="0" xfId="0" applyNumberFormat="1" applyFont="1"/>
    <xf numFmtId="177" fontId="13" fillId="0" borderId="0" xfId="24" applyFont="1" applyBorder="1" applyAlignment="1" applyProtection="1"/>
    <xf numFmtId="167" fontId="13" fillId="0" borderId="0" xfId="0" applyNumberFormat="1" applyFont="1"/>
    <xf numFmtId="10" fontId="9" fillId="0" borderId="0" xfId="19" applyNumberFormat="1" applyFont="1" applyBorder="1" applyProtection="1"/>
    <xf numFmtId="177" fontId="9" fillId="0" borderId="0" xfId="24" applyFont="1" applyBorder="1" applyAlignment="1" applyProtection="1">
      <alignment horizontal="center"/>
    </xf>
    <xf numFmtId="0" fontId="9" fillId="0" borderId="0" xfId="0" applyFont="1" applyAlignment="1">
      <alignment vertical="center"/>
    </xf>
    <xf numFmtId="177" fontId="9" fillId="0" borderId="0" xfId="24" applyFont="1" applyBorder="1" applyAlignment="1" applyProtection="1">
      <alignment horizontal="center" vertical="center"/>
    </xf>
    <xf numFmtId="2" fontId="9" fillId="0" borderId="0" xfId="0" applyNumberFormat="1" applyFont="1"/>
    <xf numFmtId="2" fontId="9" fillId="0" borderId="0" xfId="0" applyNumberFormat="1" applyFont="1" applyAlignment="1">
      <alignment vertical="center"/>
    </xf>
    <xf numFmtId="174" fontId="9" fillId="0" borderId="0" xfId="0" applyNumberFormat="1" applyFont="1"/>
    <xf numFmtId="177" fontId="9" fillId="0" borderId="0" xfId="24" applyFont="1" applyBorder="1" applyAlignment="1" applyProtection="1"/>
    <xf numFmtId="174" fontId="9" fillId="0" borderId="0" xfId="0" applyNumberFormat="1" applyFont="1" applyAlignment="1">
      <alignment vertical="center"/>
    </xf>
    <xf numFmtId="177" fontId="9" fillId="0" borderId="0" xfId="24" applyFont="1" applyBorder="1" applyAlignment="1" applyProtection="1">
      <alignment vertical="center"/>
    </xf>
    <xf numFmtId="2" fontId="18" fillId="0" borderId="0" xfId="0" applyNumberFormat="1" applyFont="1" applyAlignment="1">
      <alignment horizontal="center" vertical="center" wrapText="1"/>
    </xf>
    <xf numFmtId="167" fontId="9" fillId="0" borderId="0" xfId="0" applyNumberFormat="1" applyFont="1"/>
    <xf numFmtId="167" fontId="9" fillId="0" borderId="0" xfId="0" applyNumberFormat="1" applyFont="1" applyAlignment="1">
      <alignment vertical="center"/>
    </xf>
    <xf numFmtId="0" fontId="18" fillId="0" borderId="0" xfId="0" applyFont="1" applyAlignment="1">
      <alignment horizontal="center" vertical="center" wrapText="1"/>
    </xf>
    <xf numFmtId="0" fontId="9" fillId="0" borderId="0" xfId="0" applyFont="1" applyAlignment="1">
      <alignment vertical="center" wrapText="1"/>
    </xf>
    <xf numFmtId="0" fontId="8" fillId="0" borderId="0" xfId="0" applyFont="1" applyAlignment="1">
      <alignment horizontal="left" vertical="center"/>
    </xf>
    <xf numFmtId="0" fontId="17" fillId="0" borderId="0" xfId="0" applyFont="1" applyAlignment="1">
      <alignment vertical="center" wrapText="1"/>
    </xf>
    <xf numFmtId="0" fontId="19" fillId="0" borderId="49" xfId="0" applyFont="1" applyBorder="1" applyAlignment="1">
      <alignment vertical="center" wrapText="1"/>
    </xf>
    <xf numFmtId="0" fontId="19" fillId="0" borderId="49" xfId="0" applyFont="1" applyBorder="1" applyAlignment="1">
      <alignment horizontal="center" vertical="center" wrapText="1"/>
    </xf>
    <xf numFmtId="0" fontId="17" fillId="0" borderId="0" xfId="0" applyFont="1" applyAlignment="1">
      <alignment vertical="center"/>
    </xf>
    <xf numFmtId="0" fontId="19" fillId="0" borderId="50" xfId="0" applyFont="1" applyBorder="1" applyAlignment="1">
      <alignment horizontal="center" vertical="center" wrapText="1"/>
    </xf>
    <xf numFmtId="0" fontId="17" fillId="0" borderId="0" xfId="0" applyFont="1" applyAlignment="1">
      <alignment horizontal="left" vertical="center"/>
    </xf>
    <xf numFmtId="0" fontId="20" fillId="0" borderId="11" xfId="0" applyFont="1" applyBorder="1" applyAlignment="1">
      <alignment horizontal="left" vertical="center" wrapText="1"/>
    </xf>
    <xf numFmtId="0" fontId="20" fillId="0" borderId="45" xfId="0" applyFont="1" applyBorder="1" applyAlignment="1">
      <alignment horizontal="center" vertical="center" wrapText="1"/>
    </xf>
    <xf numFmtId="0" fontId="17" fillId="0" borderId="0" xfId="0" applyFont="1"/>
    <xf numFmtId="0" fontId="20" fillId="0" borderId="50" xfId="0" applyFont="1" applyBorder="1" applyAlignment="1">
      <alignment horizontal="left" vertical="center" wrapText="1"/>
    </xf>
    <xf numFmtId="0" fontId="21" fillId="0" borderId="45" xfId="0" applyFont="1" applyBorder="1" applyAlignment="1">
      <alignment horizontal="center" vertical="center" wrapText="1"/>
    </xf>
    <xf numFmtId="0" fontId="20" fillId="0" borderId="25" xfId="0" applyFont="1" applyBorder="1" applyAlignment="1">
      <alignment horizontal="center" vertical="center" wrapText="1"/>
    </xf>
    <xf numFmtId="0" fontId="21" fillId="0" borderId="50" xfId="0" applyFont="1" applyBorder="1" applyAlignment="1">
      <alignment horizontal="center" vertical="center" wrapText="1"/>
    </xf>
    <xf numFmtId="0" fontId="20" fillId="0" borderId="50" xfId="0" applyFont="1" applyBorder="1" applyAlignment="1">
      <alignment horizontal="center" vertical="center" wrapText="1"/>
    </xf>
    <xf numFmtId="10" fontId="20" fillId="0" borderId="45" xfId="0" applyNumberFormat="1" applyFont="1" applyBorder="1" applyAlignment="1">
      <alignment horizontal="center" vertical="center" wrapText="1"/>
    </xf>
    <xf numFmtId="10" fontId="20" fillId="0" borderId="25" xfId="0" applyNumberFormat="1" applyFont="1" applyBorder="1" applyAlignment="1">
      <alignment horizontal="center" vertical="center" wrapText="1"/>
    </xf>
    <xf numFmtId="10" fontId="20" fillId="0" borderId="50" xfId="0" applyNumberFormat="1" applyFont="1" applyBorder="1" applyAlignment="1">
      <alignment horizontal="left" vertical="center" wrapText="1"/>
    </xf>
    <xf numFmtId="0" fontId="16" fillId="0" borderId="0" xfId="0" applyFont="1" applyAlignment="1">
      <alignment horizontal="center" vertical="center"/>
    </xf>
    <xf numFmtId="0" fontId="19" fillId="0" borderId="11" xfId="0" applyFont="1" applyBorder="1" applyAlignment="1">
      <alignment horizontal="center" vertical="center" wrapText="1"/>
    </xf>
    <xf numFmtId="0" fontId="20" fillId="0" borderId="25" xfId="0" applyFont="1" applyBorder="1" applyAlignment="1">
      <alignment horizontal="center" vertical="center"/>
    </xf>
    <xf numFmtId="0" fontId="8" fillId="0" borderId="0" xfId="24" applyNumberFormat="1" applyFont="1" applyFill="1" applyBorder="1" applyAlignment="1" applyProtection="1">
      <alignment horizontal="center" vertical="center"/>
      <protection hidden="1"/>
    </xf>
    <xf numFmtId="0" fontId="20" fillId="0" borderId="25" xfId="0" applyFont="1" applyBorder="1" applyAlignment="1">
      <alignment horizontal="right" vertical="center"/>
    </xf>
    <xf numFmtId="10" fontId="22" fillId="0" borderId="45" xfId="18" applyNumberFormat="1" applyFont="1" applyBorder="1" applyAlignment="1" applyProtection="1">
      <alignment horizontal="center" vertical="center" wrapText="1"/>
    </xf>
    <xf numFmtId="0" fontId="9" fillId="0" borderId="0" xfId="0" applyFont="1" applyAlignment="1">
      <alignment horizontal="center"/>
    </xf>
    <xf numFmtId="10" fontId="9" fillId="0" borderId="0" xfId="0" applyNumberFormat="1" applyFont="1" applyAlignment="1">
      <alignment horizontal="center"/>
    </xf>
    <xf numFmtId="0" fontId="20" fillId="0" borderId="0" xfId="0" applyFont="1" applyAlignment="1">
      <alignment horizontal="left" vertical="center" wrapText="1"/>
    </xf>
    <xf numFmtId="0" fontId="20" fillId="0" borderId="0" xfId="0" applyFont="1" applyAlignment="1">
      <alignment horizontal="center" vertical="center" wrapText="1"/>
    </xf>
    <xf numFmtId="0" fontId="17" fillId="0" borderId="11" xfId="0" applyFont="1" applyBorder="1"/>
    <xf numFmtId="0" fontId="20" fillId="0" borderId="25" xfId="0" applyFont="1" applyBorder="1" applyAlignment="1">
      <alignment horizontal="left" vertical="center" wrapText="1"/>
    </xf>
    <xf numFmtId="10" fontId="20" fillId="0" borderId="0" xfId="0" applyNumberFormat="1" applyFont="1" applyAlignment="1">
      <alignment horizontal="center" vertical="center" wrapText="1"/>
    </xf>
    <xf numFmtId="0" fontId="23" fillId="0" borderId="0" xfId="0" applyFont="1" applyAlignment="1">
      <alignment horizontal="center" vertical="center"/>
    </xf>
    <xf numFmtId="10" fontId="10" fillId="0" borderId="0" xfId="19" applyNumberFormat="1" applyFont="1" applyBorder="1" applyProtection="1"/>
    <xf numFmtId="177" fontId="10" fillId="0" borderId="0" xfId="24" applyFont="1" applyBorder="1" applyAlignment="1" applyProtection="1">
      <alignment horizontal="center"/>
    </xf>
    <xf numFmtId="2" fontId="10" fillId="0" borderId="0" xfId="0" applyNumberFormat="1" applyFont="1"/>
    <xf numFmtId="174" fontId="10" fillId="0" borderId="0" xfId="0" applyNumberFormat="1" applyFont="1"/>
    <xf numFmtId="177" fontId="10" fillId="0" borderId="0" xfId="24" applyFont="1" applyBorder="1" applyAlignment="1" applyProtection="1"/>
    <xf numFmtId="167" fontId="10" fillId="0" borderId="0" xfId="0" applyNumberFormat="1" applyFont="1"/>
    <xf numFmtId="0" fontId="24" fillId="0" borderId="0" xfId="0" applyFont="1"/>
    <xf numFmtId="43" fontId="9" fillId="0" borderId="0" xfId="0" applyNumberFormat="1" applyFont="1"/>
    <xf numFmtId="177" fontId="25" fillId="0" borderId="0" xfId="24" applyFont="1" applyBorder="1" applyAlignment="1" applyProtection="1"/>
    <xf numFmtId="177" fontId="24" fillId="0" borderId="0" xfId="24" applyFont="1" applyBorder="1" applyAlignment="1" applyProtection="1">
      <alignment horizontal="left"/>
    </xf>
    <xf numFmtId="177" fontId="10" fillId="0" borderId="0" xfId="24" applyFont="1" applyBorder="1" applyAlignment="1" applyProtection="1">
      <alignment horizontal="left"/>
    </xf>
    <xf numFmtId="0" fontId="25" fillId="0" borderId="0" xfId="0" applyFont="1"/>
    <xf numFmtId="0" fontId="24" fillId="0" borderId="0" xfId="0" applyFont="1" applyAlignment="1">
      <alignment horizontal="left"/>
    </xf>
    <xf numFmtId="0" fontId="10" fillId="0" borderId="0" xfId="0" applyFont="1" applyAlignment="1">
      <alignment horizontal="left"/>
    </xf>
    <xf numFmtId="174" fontId="25" fillId="0" borderId="0" xfId="0" applyNumberFormat="1" applyFont="1"/>
    <xf numFmtId="2" fontId="25" fillId="0" borderId="0" xfId="0" applyNumberFormat="1" applyFont="1"/>
    <xf numFmtId="10" fontId="25" fillId="0" borderId="0" xfId="0" applyNumberFormat="1" applyFont="1"/>
    <xf numFmtId="177" fontId="26" fillId="0" borderId="0" xfId="24" applyFont="1" applyBorder="1" applyAlignment="1" applyProtection="1"/>
    <xf numFmtId="0" fontId="26" fillId="0" borderId="0" xfId="0" applyFont="1"/>
    <xf numFmtId="2" fontId="26" fillId="0" borderId="0" xfId="0" applyNumberFormat="1" applyFont="1"/>
    <xf numFmtId="167" fontId="25" fillId="0" borderId="0" xfId="0" applyNumberFormat="1" applyFont="1"/>
    <xf numFmtId="167" fontId="20" fillId="0" borderId="50" xfId="0" applyNumberFormat="1" applyFont="1" applyBorder="1" applyAlignment="1">
      <alignment horizontal="center" vertical="center" wrapText="1"/>
    </xf>
    <xf numFmtId="0" fontId="20" fillId="0" borderId="50" xfId="0" applyFont="1" applyBorder="1" applyAlignment="1" applyProtection="1">
      <alignment horizontal="center" vertical="center" wrapText="1"/>
      <protection hidden="1"/>
    </xf>
    <xf numFmtId="0" fontId="10" fillId="0" borderId="0" xfId="0" applyFont="1" applyAlignment="1">
      <alignment horizontal="center"/>
    </xf>
    <xf numFmtId="0" fontId="10" fillId="0" borderId="0" xfId="0" applyFont="1" applyAlignment="1">
      <alignment horizontal="center" vertical="center"/>
    </xf>
    <xf numFmtId="43" fontId="20" fillId="0" borderId="50" xfId="0" applyNumberFormat="1" applyFont="1" applyBorder="1" applyAlignment="1">
      <alignment horizontal="center" vertical="center" wrapText="1"/>
    </xf>
    <xf numFmtId="0" fontId="21" fillId="0" borderId="50" xfId="0" applyFont="1" applyBorder="1" applyAlignment="1">
      <alignment horizontal="left" vertical="center" wrapText="1"/>
    </xf>
    <xf numFmtId="0" fontId="9" fillId="0" borderId="0" xfId="24" applyNumberFormat="1" applyFont="1" applyBorder="1" applyAlignment="1" applyProtection="1">
      <alignment horizontal="center"/>
    </xf>
    <xf numFmtId="0" fontId="27" fillId="0" borderId="0" xfId="0" applyFont="1"/>
    <xf numFmtId="0" fontId="28" fillId="0" borderId="0" xfId="0" applyFont="1"/>
    <xf numFmtId="10" fontId="28" fillId="0" borderId="0" xfId="19" applyNumberFormat="1" applyFont="1" applyBorder="1" applyProtection="1"/>
    <xf numFmtId="10" fontId="27" fillId="0" borderId="0" xfId="19" applyNumberFormat="1" applyFont="1" applyBorder="1" applyProtection="1"/>
    <xf numFmtId="170" fontId="27" fillId="0" borderId="0" xfId="0" applyNumberFormat="1" applyFont="1"/>
    <xf numFmtId="10" fontId="24" fillId="0" borderId="0" xfId="19" applyNumberFormat="1" applyFont="1" applyBorder="1" applyProtection="1"/>
    <xf numFmtId="177" fontId="28" fillId="0" borderId="0" xfId="24" applyFont="1" applyBorder="1" applyAlignment="1" applyProtection="1">
      <alignment horizontal="center"/>
    </xf>
    <xf numFmtId="177" fontId="27" fillId="0" borderId="0" xfId="24" applyFont="1" applyBorder="1" applyAlignment="1" applyProtection="1">
      <alignment horizontal="center"/>
    </xf>
    <xf numFmtId="177" fontId="24" fillId="0" borderId="0" xfId="24" applyFont="1" applyBorder="1" applyAlignment="1" applyProtection="1">
      <alignment horizontal="center"/>
    </xf>
    <xf numFmtId="2" fontId="28" fillId="0" borderId="0" xfId="0" applyNumberFormat="1" applyFont="1"/>
    <xf numFmtId="177" fontId="28" fillId="0" borderId="0" xfId="24" applyFont="1" applyBorder="1" applyAlignment="1" applyProtection="1"/>
    <xf numFmtId="177" fontId="27" fillId="0" borderId="0" xfId="24" applyFont="1" applyBorder="1" applyAlignment="1" applyProtection="1"/>
    <xf numFmtId="177" fontId="24" fillId="0" borderId="0" xfId="24" applyFont="1" applyBorder="1" applyAlignment="1" applyProtection="1"/>
    <xf numFmtId="0" fontId="16" fillId="0" borderId="0" xfId="0" applyFont="1"/>
    <xf numFmtId="170" fontId="28" fillId="0" borderId="0" xfId="0" applyNumberFormat="1" applyFont="1"/>
    <xf numFmtId="177" fontId="29" fillId="0" borderId="0" xfId="24" applyFont="1" applyBorder="1" applyAlignment="1" applyProtection="1"/>
    <xf numFmtId="9" fontId="8" fillId="0" borderId="0" xfId="0" applyNumberFormat="1" applyFont="1"/>
    <xf numFmtId="0" fontId="29" fillId="0" borderId="0" xfId="0" applyFont="1"/>
    <xf numFmtId="0" fontId="30" fillId="0" borderId="0" xfId="0" applyFont="1"/>
    <xf numFmtId="170" fontId="30" fillId="0" borderId="0" xfId="0" applyNumberFormat="1" applyFont="1"/>
    <xf numFmtId="177" fontId="30" fillId="0" borderId="0" xfId="24" applyFont="1" applyBorder="1" applyAlignment="1" applyProtection="1"/>
    <xf numFmtId="170" fontId="9" fillId="0" borderId="0" xfId="0" applyNumberFormat="1" applyFont="1"/>
    <xf numFmtId="0" fontId="31" fillId="0" borderId="50" xfId="0" applyFont="1" applyBorder="1" applyAlignment="1" applyProtection="1">
      <alignment horizontal="center" vertical="center" wrapText="1"/>
      <protection hidden="1"/>
    </xf>
    <xf numFmtId="170" fontId="20" fillId="0" borderId="50" xfId="0" applyNumberFormat="1" applyFont="1" applyBorder="1" applyAlignment="1">
      <alignment horizontal="center" vertical="center" wrapText="1"/>
    </xf>
    <xf numFmtId="2" fontId="8" fillId="0" borderId="0" xfId="0" applyNumberFormat="1" applyFont="1" applyAlignment="1">
      <alignment horizontal="center"/>
    </xf>
    <xf numFmtId="0" fontId="8" fillId="0" borderId="0" xfId="0" applyFont="1" applyAlignment="1">
      <alignment horizontal="center" vertical="center" wrapText="1"/>
    </xf>
    <xf numFmtId="0" fontId="9" fillId="0" borderId="0" xfId="0" applyFont="1" applyAlignment="1">
      <alignment horizontal="center" vertical="center" wrapText="1"/>
    </xf>
    <xf numFmtId="177" fontId="9" fillId="0" borderId="0" xfId="24" applyFont="1" applyProtection="1"/>
    <xf numFmtId="173" fontId="9" fillId="0" borderId="0" xfId="0" applyNumberFormat="1" applyFont="1"/>
    <xf numFmtId="166" fontId="20" fillId="0" borderId="50" xfId="0" applyNumberFormat="1" applyFont="1" applyBorder="1" applyAlignment="1">
      <alignment horizontal="center" vertical="center" wrapText="1"/>
    </xf>
    <xf numFmtId="0" fontId="19" fillId="0" borderId="11" xfId="0" applyFont="1" applyBorder="1" applyAlignment="1">
      <alignment horizontal="left" vertical="center" wrapText="1"/>
    </xf>
    <xf numFmtId="0" fontId="19" fillId="0" borderId="45" xfId="0" applyFont="1" applyBorder="1" applyAlignment="1">
      <alignment horizontal="left" vertical="center" wrapText="1"/>
    </xf>
    <xf numFmtId="10" fontId="9" fillId="0" borderId="0" xfId="0" applyNumberFormat="1" applyFont="1" applyAlignment="1">
      <alignment horizontal="center" vertical="center"/>
    </xf>
    <xf numFmtId="10" fontId="9" fillId="0" borderId="0" xfId="0" applyNumberFormat="1" applyFont="1" applyAlignment="1">
      <alignment horizontal="right"/>
    </xf>
    <xf numFmtId="2" fontId="9" fillId="0" borderId="0" xfId="0" applyNumberFormat="1" applyFont="1" applyAlignment="1">
      <alignment horizontal="center"/>
    </xf>
    <xf numFmtId="0" fontId="9" fillId="0" borderId="0" xfId="0" applyFont="1" applyAlignment="1">
      <alignment horizontal="right"/>
    </xf>
    <xf numFmtId="0" fontId="2" fillId="2" borderId="0" xfId="0" applyFont="1" applyFill="1"/>
    <xf numFmtId="0" fontId="0" fillId="2" borderId="0" xfId="0" applyFill="1"/>
    <xf numFmtId="0" fontId="0" fillId="2" borderId="0" xfId="0" applyFill="1" applyAlignment="1">
      <alignment horizontal="left" vertical="center"/>
    </xf>
    <xf numFmtId="0" fontId="14" fillId="2" borderId="0" xfId="0" applyFont="1" applyFill="1"/>
    <xf numFmtId="0" fontId="32" fillId="2" borderId="0" xfId="0" applyFont="1" applyFill="1" applyAlignment="1">
      <alignment horizontal="justify" vertical="center" wrapText="1"/>
    </xf>
    <xf numFmtId="0" fontId="33" fillId="2" borderId="0" xfId="0" applyFont="1" applyFill="1" applyAlignment="1">
      <alignment vertical="center"/>
    </xf>
    <xf numFmtId="0" fontId="52" fillId="0" borderId="1" xfId="0" applyFont="1" applyBorder="1" applyAlignment="1">
      <alignment horizontal="center" vertical="center" wrapText="1"/>
    </xf>
    <xf numFmtId="0" fontId="52" fillId="0" borderId="2" xfId="0" applyFont="1" applyBorder="1" applyAlignment="1">
      <alignment horizontal="center" vertical="center" wrapText="1"/>
    </xf>
    <xf numFmtId="0" fontId="52" fillId="0" borderId="13" xfId="0" applyFont="1" applyBorder="1" applyAlignment="1">
      <alignment horizontal="center" vertical="center" wrapText="1"/>
    </xf>
    <xf numFmtId="0" fontId="51" fillId="0" borderId="6" xfId="0" applyFont="1" applyBorder="1" applyAlignment="1">
      <alignment horizontal="left" vertical="center" wrapText="1"/>
    </xf>
    <xf numFmtId="0" fontId="51" fillId="0" borderId="51" xfId="0" applyFont="1" applyBorder="1" applyAlignment="1">
      <alignment horizontal="center" vertical="center"/>
    </xf>
    <xf numFmtId="0" fontId="51" fillId="0" borderId="34" xfId="0" applyFont="1" applyBorder="1" applyAlignment="1">
      <alignment horizontal="center" vertical="center"/>
    </xf>
    <xf numFmtId="0" fontId="54" fillId="0" borderId="44" xfId="0" applyFont="1" applyBorder="1" applyAlignment="1">
      <alignment horizontal="center" vertical="center"/>
    </xf>
    <xf numFmtId="0" fontId="51" fillId="0" borderId="6" xfId="0" applyFont="1" applyBorder="1" applyAlignment="1">
      <alignment horizontal="center" vertical="center"/>
    </xf>
    <xf numFmtId="0" fontId="51" fillId="0" borderId="4" xfId="0" applyFont="1" applyBorder="1" applyAlignment="1">
      <alignment horizontal="center" vertical="center"/>
    </xf>
    <xf numFmtId="0" fontId="54" fillId="0" borderId="14" xfId="0" applyFont="1" applyBorder="1" applyAlignment="1">
      <alignment horizontal="center" vertical="center"/>
    </xf>
    <xf numFmtId="0" fontId="54" fillId="0" borderId="15" xfId="0" applyFont="1" applyBorder="1" applyAlignment="1">
      <alignment horizontal="center" vertical="center"/>
    </xf>
    <xf numFmtId="0" fontId="54" fillId="0" borderId="6" xfId="0" applyFont="1" applyBorder="1" applyAlignment="1">
      <alignment horizontal="center" vertical="center"/>
    </xf>
    <xf numFmtId="0" fontId="51" fillId="0" borderId="23" xfId="0" applyFont="1" applyBorder="1" applyAlignment="1">
      <alignment horizontal="left" vertical="center" wrapText="1"/>
    </xf>
    <xf numFmtId="0" fontId="51" fillId="0" borderId="23" xfId="0" applyFont="1" applyBorder="1" applyAlignment="1">
      <alignment horizontal="center" vertical="center"/>
    </xf>
    <xf numFmtId="0" fontId="54" fillId="0" borderId="23" xfId="0" applyFont="1" applyBorder="1" applyAlignment="1">
      <alignment horizontal="center" vertical="center"/>
    </xf>
    <xf numFmtId="0" fontId="54" fillId="0" borderId="28" xfId="0" applyFont="1" applyBorder="1" applyAlignment="1">
      <alignment horizontal="center" vertical="center"/>
    </xf>
    <xf numFmtId="0" fontId="51" fillId="0" borderId="1" xfId="0" applyFont="1" applyBorder="1" applyAlignment="1">
      <alignment horizontal="center" vertical="center" wrapText="1"/>
    </xf>
    <xf numFmtId="0" fontId="51" fillId="0" borderId="2" xfId="0" applyFont="1" applyBorder="1" applyAlignment="1">
      <alignment horizontal="left" vertical="center" wrapText="1"/>
    </xf>
    <xf numFmtId="0" fontId="51" fillId="0" borderId="2" xfId="0" applyFont="1" applyBorder="1" applyAlignment="1">
      <alignment horizontal="center" vertical="center"/>
    </xf>
    <xf numFmtId="0" fontId="54" fillId="0" borderId="2" xfId="0" applyFont="1" applyBorder="1" applyAlignment="1">
      <alignment horizontal="center" vertical="center"/>
    </xf>
    <xf numFmtId="0" fontId="54" fillId="0" borderId="13" xfId="0" applyFont="1" applyBorder="1" applyAlignment="1">
      <alignment horizontal="center" vertical="center"/>
    </xf>
    <xf numFmtId="0" fontId="55" fillId="2" borderId="0" xfId="0" applyFont="1" applyFill="1"/>
    <xf numFmtId="0" fontId="55" fillId="2" borderId="0" xfId="0" applyFont="1" applyFill="1" applyAlignment="1">
      <alignment horizontal="left" vertical="center"/>
    </xf>
    <xf numFmtId="0" fontId="57" fillId="2" borderId="0" xfId="0" applyFont="1" applyFill="1" applyAlignment="1">
      <alignment horizontal="center" vertical="center" wrapText="1"/>
    </xf>
    <xf numFmtId="0" fontId="58" fillId="2" borderId="0" xfId="0" applyFont="1" applyFill="1" applyAlignment="1">
      <alignment horizontal="center" vertical="center" wrapText="1"/>
    </xf>
    <xf numFmtId="177" fontId="58" fillId="2" borderId="0" xfId="24" applyFont="1" applyFill="1" applyBorder="1" applyAlignment="1" applyProtection="1">
      <alignment horizontal="center" vertical="center"/>
    </xf>
    <xf numFmtId="10" fontId="58" fillId="2" borderId="0" xfId="0" applyNumberFormat="1" applyFont="1" applyFill="1" applyAlignment="1">
      <alignment horizontal="center" vertical="center" wrapText="1"/>
    </xf>
    <xf numFmtId="2" fontId="58" fillId="2" borderId="0" xfId="0" applyNumberFormat="1" applyFont="1" applyFill="1" applyAlignment="1">
      <alignment horizontal="center" vertical="center" wrapText="1"/>
    </xf>
    <xf numFmtId="174" fontId="57" fillId="2" borderId="0" xfId="0" applyNumberFormat="1" applyFont="1" applyFill="1" applyAlignment="1">
      <alignment horizontal="center" vertical="center" wrapText="1"/>
    </xf>
    <xf numFmtId="167" fontId="58" fillId="2" borderId="0" xfId="0" applyNumberFormat="1" applyFont="1" applyFill="1" applyAlignment="1">
      <alignment horizontal="center" vertical="center" wrapText="1"/>
    </xf>
    <xf numFmtId="4" fontId="59" fillId="2" borderId="0" xfId="0" applyNumberFormat="1" applyFont="1" applyFill="1" applyAlignment="1">
      <alignment vertical="center" wrapText="1"/>
    </xf>
    <xf numFmtId="10" fontId="59" fillId="2" borderId="0" xfId="0" applyNumberFormat="1" applyFont="1" applyFill="1" applyAlignment="1">
      <alignment vertical="center" wrapText="1"/>
    </xf>
    <xf numFmtId="0" fontId="60" fillId="2" borderId="0" xfId="0" applyFont="1" applyFill="1" applyAlignment="1">
      <alignment horizontal="center" vertical="center" wrapText="1"/>
    </xf>
    <xf numFmtId="0" fontId="59" fillId="2" borderId="0" xfId="0" applyFont="1" applyFill="1" applyAlignment="1">
      <alignment horizontal="center" vertical="center" wrapText="1"/>
    </xf>
    <xf numFmtId="177" fontId="59" fillId="2" borderId="0" xfId="24" applyFont="1" applyFill="1" applyBorder="1" applyAlignment="1" applyProtection="1">
      <alignment horizontal="center" vertical="center"/>
    </xf>
    <xf numFmtId="10" fontId="59" fillId="2" borderId="0" xfId="0" applyNumberFormat="1" applyFont="1" applyFill="1" applyAlignment="1">
      <alignment horizontal="center" vertical="center" wrapText="1"/>
    </xf>
    <xf numFmtId="2" fontId="59" fillId="2" borderId="0" xfId="0" applyNumberFormat="1" applyFont="1" applyFill="1" applyAlignment="1">
      <alignment horizontal="center" vertical="center" wrapText="1"/>
    </xf>
    <xf numFmtId="174" fontId="60" fillId="2" borderId="0" xfId="0" applyNumberFormat="1" applyFont="1" applyFill="1" applyAlignment="1">
      <alignment horizontal="center" vertical="center" wrapText="1"/>
    </xf>
    <xf numFmtId="167" fontId="59" fillId="2" borderId="0" xfId="0" applyNumberFormat="1" applyFont="1" applyFill="1" applyAlignment="1">
      <alignment horizontal="center" vertical="center" wrapText="1"/>
    </xf>
    <xf numFmtId="4" fontId="58" fillId="2" borderId="0" xfId="0" applyNumberFormat="1" applyFont="1" applyFill="1" applyAlignment="1">
      <alignment horizontal="center" vertical="center" wrapText="1"/>
    </xf>
    <xf numFmtId="0" fontId="61" fillId="0" borderId="0" xfId="18" applyFont="1" applyFill="1" applyBorder="1" applyAlignment="1" applyProtection="1">
      <alignment vertical="center"/>
    </xf>
    <xf numFmtId="0" fontId="62" fillId="3" borderId="29" xfId="0" applyFont="1" applyFill="1" applyBorder="1" applyAlignment="1">
      <alignment horizontal="left" vertical="center" wrapText="1"/>
    </xf>
    <xf numFmtId="0" fontId="62" fillId="3" borderId="8" xfId="0" applyFont="1" applyFill="1" applyBorder="1" applyAlignment="1">
      <alignment horizontal="left" vertical="center" wrapText="1"/>
    </xf>
    <xf numFmtId="0" fontId="62" fillId="3" borderId="22" xfId="0" applyFont="1" applyFill="1" applyBorder="1" applyAlignment="1">
      <alignment horizontal="left" vertical="center" wrapText="1"/>
    </xf>
    <xf numFmtId="4" fontId="56" fillId="2" borderId="0" xfId="0" applyNumberFormat="1" applyFont="1" applyFill="1" applyAlignment="1">
      <alignment horizontal="center" vertical="center"/>
    </xf>
    <xf numFmtId="10" fontId="56" fillId="2" borderId="0" xfId="0" applyNumberFormat="1" applyFont="1" applyFill="1" applyAlignment="1">
      <alignment horizontal="center" vertical="center"/>
    </xf>
    <xf numFmtId="4" fontId="52" fillId="3" borderId="6" xfId="0" applyNumberFormat="1" applyFont="1" applyFill="1" applyBorder="1" applyAlignment="1">
      <alignment horizontal="center" vertical="center" wrapText="1"/>
    </xf>
    <xf numFmtId="0" fontId="56" fillId="5" borderId="47" xfId="0" applyFont="1" applyFill="1" applyBorder="1" applyAlignment="1">
      <alignment vertical="center" wrapText="1"/>
    </xf>
    <xf numFmtId="4" fontId="56" fillId="2" borderId="6" xfId="0" applyNumberFormat="1" applyFont="1" applyFill="1" applyBorder="1" applyAlignment="1" applyProtection="1">
      <alignment horizontal="center" vertical="center" wrapText="1"/>
      <protection locked="0"/>
    </xf>
    <xf numFmtId="0" fontId="56" fillId="2" borderId="6" xfId="0" applyFont="1" applyFill="1" applyBorder="1" applyAlignment="1" applyProtection="1">
      <alignment horizontal="center" vertical="center" wrapText="1"/>
      <protection locked="0"/>
    </xf>
    <xf numFmtId="43" fontId="56" fillId="5" borderId="6" xfId="0" applyNumberFormat="1" applyFont="1" applyFill="1" applyBorder="1" applyAlignment="1">
      <alignment horizontal="center" vertical="center" wrapText="1"/>
    </xf>
    <xf numFmtId="4" fontId="56" fillId="5" borderId="6" xfId="0" applyNumberFormat="1" applyFont="1" applyFill="1" applyBorder="1" applyAlignment="1">
      <alignment horizontal="center" vertical="center" wrapText="1"/>
    </xf>
    <xf numFmtId="0" fontId="56" fillId="5" borderId="6" xfId="0" applyFont="1" applyFill="1" applyBorder="1" applyAlignment="1">
      <alignment horizontal="center" vertical="center" wrapText="1"/>
    </xf>
    <xf numFmtId="10" fontId="56" fillId="2" borderId="6" xfId="19" applyNumberFormat="1" applyFont="1" applyFill="1" applyBorder="1" applyAlignment="1" applyProtection="1">
      <alignment horizontal="center" vertical="center" wrapText="1"/>
      <protection locked="0"/>
    </xf>
    <xf numFmtId="166" fontId="56" fillId="5" borderId="6" xfId="0" applyNumberFormat="1" applyFont="1" applyFill="1" applyBorder="1" applyAlignment="1">
      <alignment horizontal="center" vertical="center" wrapText="1"/>
    </xf>
    <xf numFmtId="1" fontId="56" fillId="5" borderId="6" xfId="0" applyNumberFormat="1" applyFont="1" applyFill="1" applyBorder="1" applyAlignment="1">
      <alignment horizontal="center" vertical="center" wrapText="1"/>
    </xf>
    <xf numFmtId="167" fontId="56" fillId="5" borderId="6" xfId="0" applyNumberFormat="1" applyFont="1" applyFill="1" applyBorder="1" applyAlignment="1">
      <alignment horizontal="center" vertical="center" wrapText="1"/>
    </xf>
    <xf numFmtId="2" fontId="56" fillId="5" borderId="6" xfId="0" applyNumberFormat="1" applyFont="1" applyFill="1" applyBorder="1" applyAlignment="1">
      <alignment horizontal="center" vertical="center" wrapText="1"/>
    </xf>
    <xf numFmtId="0" fontId="56" fillId="5" borderId="5" xfId="0" applyFont="1" applyFill="1" applyBorder="1" applyAlignment="1">
      <alignment vertical="center" wrapText="1"/>
    </xf>
    <xf numFmtId="174" fontId="56" fillId="5" borderId="6" xfId="0" applyNumberFormat="1" applyFont="1" applyFill="1" applyBorder="1" applyAlignment="1">
      <alignment horizontal="center" vertical="center" wrapText="1"/>
    </xf>
    <xf numFmtId="0" fontId="56" fillId="5" borderId="7" xfId="0" applyFont="1" applyFill="1" applyBorder="1" applyAlignment="1">
      <alignment vertical="center" wrapText="1"/>
    </xf>
    <xf numFmtId="0" fontId="56" fillId="0" borderId="6" xfId="0" applyFont="1" applyBorder="1" applyAlignment="1" applyProtection="1">
      <alignment horizontal="center" vertical="center" wrapText="1"/>
      <protection locked="0"/>
    </xf>
    <xf numFmtId="0" fontId="65" fillId="3" borderId="8" xfId="0" applyFont="1" applyFill="1" applyBorder="1" applyAlignment="1">
      <alignment vertical="center"/>
    </xf>
    <xf numFmtId="0" fontId="65" fillId="3" borderId="36" xfId="0" applyFont="1" applyFill="1" applyBorder="1" applyAlignment="1">
      <alignment vertical="center"/>
    </xf>
    <xf numFmtId="0" fontId="65" fillId="3" borderId="6" xfId="0" applyFont="1" applyFill="1" applyBorder="1" applyAlignment="1">
      <alignment vertical="center" wrapText="1"/>
    </xf>
    <xf numFmtId="0" fontId="65" fillId="3" borderId="6" xfId="0" applyFont="1" applyFill="1" applyBorder="1" applyAlignment="1" applyProtection="1">
      <alignment vertical="center" wrapText="1"/>
      <protection locked="0"/>
    </xf>
    <xf numFmtId="10" fontId="65" fillId="3" borderId="6" xfId="19" applyNumberFormat="1" applyFont="1" applyFill="1" applyBorder="1" applyAlignment="1" applyProtection="1">
      <alignment vertical="center" wrapText="1"/>
    </xf>
    <xf numFmtId="177" fontId="65" fillId="3" borderId="6" xfId="24" applyFont="1" applyFill="1" applyBorder="1" applyAlignment="1" applyProtection="1">
      <alignment horizontal="center" vertical="center"/>
    </xf>
    <xf numFmtId="2" fontId="65" fillId="3" borderId="6" xfId="0" applyNumberFormat="1" applyFont="1" applyFill="1" applyBorder="1" applyAlignment="1">
      <alignment vertical="center" wrapText="1"/>
    </xf>
    <xf numFmtId="4" fontId="65" fillId="3" borderId="6" xfId="0" applyNumberFormat="1" applyFont="1" applyFill="1" applyBorder="1" applyAlignment="1">
      <alignment horizontal="center" vertical="center" wrapText="1"/>
    </xf>
    <xf numFmtId="172" fontId="59" fillId="3" borderId="6" xfId="0" applyNumberFormat="1" applyFont="1" applyFill="1" applyBorder="1" applyAlignment="1">
      <alignment horizontal="center" vertical="center" wrapText="1"/>
    </xf>
    <xf numFmtId="174" fontId="65" fillId="3" borderId="6" xfId="0" applyNumberFormat="1" applyFont="1" applyFill="1" applyBorder="1" applyAlignment="1">
      <alignment vertical="center" wrapText="1"/>
    </xf>
    <xf numFmtId="177" fontId="65" fillId="3" borderId="6" xfId="24" applyFont="1" applyFill="1" applyBorder="1" applyAlignment="1" applyProtection="1">
      <alignment vertical="center"/>
    </xf>
    <xf numFmtId="167" fontId="65" fillId="3" borderId="6" xfId="0" applyNumberFormat="1" applyFont="1" applyFill="1" applyBorder="1" applyAlignment="1">
      <alignment vertical="center" wrapText="1"/>
    </xf>
    <xf numFmtId="10" fontId="65" fillId="3" borderId="6" xfId="0" applyNumberFormat="1" applyFont="1" applyFill="1" applyBorder="1" applyAlignment="1">
      <alignment horizontal="center" vertical="center" wrapText="1"/>
    </xf>
    <xf numFmtId="2" fontId="65" fillId="3" borderId="6" xfId="0" applyNumberFormat="1" applyFont="1" applyFill="1" applyBorder="1" applyAlignment="1">
      <alignment horizontal="center" vertical="center" wrapText="1"/>
    </xf>
    <xf numFmtId="172" fontId="59" fillId="3" borderId="15" xfId="0" applyNumberFormat="1" applyFont="1" applyFill="1" applyBorder="1" applyAlignment="1">
      <alignment horizontal="center" vertical="center" wrapText="1"/>
    </xf>
    <xf numFmtId="0" fontId="65" fillId="2" borderId="35" xfId="0" applyFont="1" applyFill="1" applyBorder="1" applyAlignment="1">
      <alignment vertical="center"/>
    </xf>
    <xf numFmtId="0" fontId="65" fillId="2" borderId="32" xfId="0" applyFont="1" applyFill="1" applyBorder="1" applyAlignment="1">
      <alignment vertical="center"/>
    </xf>
    <xf numFmtId="0" fontId="65" fillId="2" borderId="32" xfId="0" applyFont="1" applyFill="1" applyBorder="1" applyAlignment="1">
      <alignment vertical="center" wrapText="1"/>
    </xf>
    <xf numFmtId="10" fontId="65" fillId="2" borderId="32" xfId="19" applyNumberFormat="1" applyFont="1" applyFill="1" applyBorder="1" applyAlignment="1" applyProtection="1">
      <alignment vertical="center" wrapText="1"/>
    </xf>
    <xf numFmtId="177" fontId="65" fillId="2" borderId="32" xfId="24" applyFont="1" applyFill="1" applyBorder="1" applyAlignment="1" applyProtection="1">
      <alignment horizontal="center" vertical="center"/>
    </xf>
    <xf numFmtId="2" fontId="65" fillId="2" borderId="32" xfId="0" applyNumberFormat="1" applyFont="1" applyFill="1" applyBorder="1" applyAlignment="1">
      <alignment vertical="center" wrapText="1"/>
    </xf>
    <xf numFmtId="4" fontId="65" fillId="2" borderId="32" xfId="0" applyNumberFormat="1" applyFont="1" applyFill="1" applyBorder="1" applyAlignment="1">
      <alignment horizontal="center" vertical="center" wrapText="1"/>
    </xf>
    <xf numFmtId="172" fontId="59" fillId="2" borderId="32" xfId="0" applyNumberFormat="1" applyFont="1" applyFill="1" applyBorder="1" applyAlignment="1">
      <alignment horizontal="center" vertical="center" wrapText="1"/>
    </xf>
    <xf numFmtId="174" fontId="65" fillId="2" borderId="32" xfId="0" applyNumberFormat="1" applyFont="1" applyFill="1" applyBorder="1" applyAlignment="1">
      <alignment vertical="center" wrapText="1"/>
    </xf>
    <xf numFmtId="177" fontId="65" fillId="2" borderId="32" xfId="24" applyFont="1" applyFill="1" applyBorder="1" applyAlignment="1" applyProtection="1">
      <alignment vertical="center"/>
    </xf>
    <xf numFmtId="167" fontId="65" fillId="2" borderId="32" xfId="0" applyNumberFormat="1" applyFont="1" applyFill="1" applyBorder="1" applyAlignment="1">
      <alignment vertical="center" wrapText="1"/>
    </xf>
    <xf numFmtId="10" fontId="65" fillId="2" borderId="32" xfId="0" applyNumberFormat="1" applyFont="1" applyFill="1" applyBorder="1" applyAlignment="1">
      <alignment horizontal="center" vertical="center" wrapText="1"/>
    </xf>
    <xf numFmtId="2" fontId="65" fillId="2" borderId="32" xfId="0" applyNumberFormat="1" applyFont="1" applyFill="1" applyBorder="1" applyAlignment="1">
      <alignment horizontal="center" vertical="center" wrapText="1"/>
    </xf>
    <xf numFmtId="172" fontId="59" fillId="2" borderId="41" xfId="0" applyNumberFormat="1" applyFont="1" applyFill="1" applyBorder="1" applyAlignment="1">
      <alignment horizontal="center" vertical="center" wrapText="1"/>
    </xf>
    <xf numFmtId="165" fontId="56" fillId="5" borderId="6" xfId="0" applyNumberFormat="1" applyFont="1" applyFill="1" applyBorder="1" applyAlignment="1">
      <alignment horizontal="center" vertical="center" wrapText="1"/>
    </xf>
    <xf numFmtId="0" fontId="65" fillId="3" borderId="8" xfId="0" applyFont="1" applyFill="1" applyBorder="1" applyAlignment="1">
      <alignment vertical="center" wrapText="1"/>
    </xf>
    <xf numFmtId="0" fontId="65" fillId="3" borderId="36" xfId="0" applyFont="1" applyFill="1" applyBorder="1" applyAlignment="1">
      <alignment vertical="center" wrapText="1"/>
    </xf>
    <xf numFmtId="0" fontId="56" fillId="5" borderId="5" xfId="0" applyFont="1" applyFill="1" applyBorder="1" applyAlignment="1">
      <alignment vertical="center"/>
    </xf>
    <xf numFmtId="0" fontId="56" fillId="5" borderId="7" xfId="0" applyFont="1" applyFill="1" applyBorder="1" applyAlignment="1">
      <alignment vertical="center"/>
    </xf>
    <xf numFmtId="0" fontId="56" fillId="5" borderId="8" xfId="0" applyFont="1" applyFill="1" applyBorder="1" applyAlignment="1">
      <alignment horizontal="left" vertical="center"/>
    </xf>
    <xf numFmtId="10" fontId="56" fillId="0" borderId="6" xfId="19" applyNumberFormat="1" applyFont="1" applyFill="1" applyBorder="1" applyAlignment="1" applyProtection="1">
      <alignment horizontal="center" vertical="center" wrapText="1"/>
      <protection locked="0"/>
    </xf>
    <xf numFmtId="0" fontId="56" fillId="5" borderId="8" xfId="0" applyFont="1" applyFill="1" applyBorder="1" applyAlignment="1">
      <alignment horizontal="left" vertical="center" wrapText="1"/>
    </xf>
    <xf numFmtId="0" fontId="64" fillId="3" borderId="22" xfId="0" applyFont="1" applyFill="1" applyBorder="1" applyAlignment="1">
      <alignment vertical="center"/>
    </xf>
    <xf numFmtId="0" fontId="64" fillId="3" borderId="38" xfId="0" applyFont="1" applyFill="1" applyBorder="1" applyAlignment="1">
      <alignment vertical="center"/>
    </xf>
    <xf numFmtId="0" fontId="69" fillId="3" borderId="23" xfId="0" applyFont="1" applyFill="1" applyBorder="1" applyAlignment="1">
      <alignment vertical="center"/>
    </xf>
    <xf numFmtId="10" fontId="69" fillId="3" borderId="23" xfId="19" applyNumberFormat="1" applyFont="1" applyFill="1" applyBorder="1" applyAlignment="1" applyProtection="1">
      <alignment vertical="center"/>
    </xf>
    <xf numFmtId="177" fontId="69" fillId="3" borderId="23" xfId="24" applyFont="1" applyFill="1" applyBorder="1" applyAlignment="1" applyProtection="1">
      <alignment horizontal="center" vertical="center"/>
    </xf>
    <xf numFmtId="2" fontId="69" fillId="3" borderId="23" xfId="0" applyNumberFormat="1" applyFont="1" applyFill="1" applyBorder="1" applyAlignment="1">
      <alignment vertical="center"/>
    </xf>
    <xf numFmtId="4" fontId="65" fillId="3" borderId="23" xfId="0" applyNumberFormat="1" applyFont="1" applyFill="1" applyBorder="1" applyAlignment="1">
      <alignment horizontal="center" vertical="center"/>
    </xf>
    <xf numFmtId="172" fontId="65" fillId="3" borderId="23" xfId="0" applyNumberFormat="1" applyFont="1" applyFill="1" applyBorder="1" applyAlignment="1">
      <alignment horizontal="center" vertical="center" wrapText="1"/>
    </xf>
    <xf numFmtId="174" fontId="69" fillId="3" borderId="23" xfId="0" applyNumberFormat="1" applyFont="1" applyFill="1" applyBorder="1" applyAlignment="1">
      <alignment vertical="center"/>
    </xf>
    <xf numFmtId="177" fontId="69" fillId="3" borderId="23" xfId="24" applyFont="1" applyFill="1" applyBorder="1" applyAlignment="1" applyProtection="1">
      <alignment vertical="center"/>
    </xf>
    <xf numFmtId="167" fontId="69" fillId="3" borderId="23" xfId="0" applyNumberFormat="1" applyFont="1" applyFill="1" applyBorder="1" applyAlignment="1">
      <alignment vertical="center"/>
    </xf>
    <xf numFmtId="10" fontId="69" fillId="3" borderId="23" xfId="0" applyNumberFormat="1" applyFont="1" applyFill="1" applyBorder="1" applyAlignment="1">
      <alignment horizontal="center" vertical="center"/>
    </xf>
    <xf numFmtId="2" fontId="69" fillId="3" borderId="23" xfId="0" applyNumberFormat="1" applyFont="1" applyFill="1" applyBorder="1" applyAlignment="1">
      <alignment horizontal="center" vertical="center"/>
    </xf>
    <xf numFmtId="4" fontId="69" fillId="3" borderId="23" xfId="0" applyNumberFormat="1" applyFont="1" applyFill="1" applyBorder="1" applyAlignment="1">
      <alignment horizontal="center" vertical="center"/>
    </xf>
    <xf numFmtId="0" fontId="69" fillId="2" borderId="48" xfId="0" applyFont="1" applyFill="1" applyBorder="1" applyAlignment="1">
      <alignment horizontal="center" vertical="center"/>
    </xf>
    <xf numFmtId="4" fontId="69" fillId="2" borderId="48" xfId="0" applyNumberFormat="1" applyFont="1" applyFill="1" applyBorder="1" applyAlignment="1">
      <alignment horizontal="center" vertical="center"/>
    </xf>
    <xf numFmtId="1" fontId="69" fillId="2" borderId="48" xfId="0" applyNumberFormat="1" applyFont="1" applyFill="1" applyBorder="1" applyAlignment="1">
      <alignment horizontal="center" vertical="center"/>
    </xf>
    <xf numFmtId="10" fontId="69" fillId="2" borderId="48" xfId="19" applyNumberFormat="1" applyFont="1" applyFill="1" applyBorder="1" applyAlignment="1" applyProtection="1">
      <alignment horizontal="center" vertical="center"/>
    </xf>
    <xf numFmtId="10" fontId="69" fillId="2" borderId="48" xfId="0" applyNumberFormat="1" applyFont="1" applyFill="1" applyBorder="1" applyAlignment="1">
      <alignment horizontal="center" vertical="center"/>
    </xf>
    <xf numFmtId="177" fontId="69" fillId="2" borderId="48" xfId="24" applyFont="1" applyFill="1" applyBorder="1" applyAlignment="1" applyProtection="1">
      <alignment horizontal="center" vertical="center"/>
    </xf>
    <xf numFmtId="2" fontId="69" fillId="2" borderId="48" xfId="0" applyNumberFormat="1" applyFont="1" applyFill="1" applyBorder="1" applyAlignment="1">
      <alignment horizontal="center" vertical="center"/>
    </xf>
    <xf numFmtId="174" fontId="69" fillId="2" borderId="48" xfId="0" applyNumberFormat="1" applyFont="1" applyFill="1" applyBorder="1" applyAlignment="1">
      <alignment horizontal="center" vertical="center"/>
    </xf>
    <xf numFmtId="167" fontId="69" fillId="2" borderId="48" xfId="0" applyNumberFormat="1" applyFont="1" applyFill="1" applyBorder="1" applyAlignment="1">
      <alignment horizontal="center" vertical="center"/>
    </xf>
    <xf numFmtId="0" fontId="56" fillId="5" borderId="8" xfId="0" applyFont="1" applyFill="1" applyBorder="1" applyAlignment="1">
      <alignment vertical="center" wrapText="1"/>
    </xf>
    <xf numFmtId="0" fontId="69" fillId="3" borderId="22" xfId="0" applyFont="1" applyFill="1" applyBorder="1" applyAlignment="1">
      <alignment vertical="center"/>
    </xf>
    <xf numFmtId="0" fontId="69" fillId="3" borderId="38" xfId="0" applyFont="1" applyFill="1" applyBorder="1" applyAlignment="1">
      <alignment vertical="center"/>
    </xf>
    <xf numFmtId="2" fontId="65" fillId="3" borderId="23" xfId="0" applyNumberFormat="1" applyFont="1" applyFill="1" applyBorder="1" applyAlignment="1">
      <alignment horizontal="center" vertical="center"/>
    </xf>
    <xf numFmtId="10" fontId="65" fillId="3" borderId="23" xfId="0" applyNumberFormat="1" applyFont="1" applyFill="1" applyBorder="1" applyAlignment="1">
      <alignment horizontal="center" vertical="center"/>
    </xf>
    <xf numFmtId="4" fontId="65" fillId="3" borderId="6" xfId="0" applyNumberFormat="1" applyFont="1" applyFill="1" applyBorder="1" applyAlignment="1">
      <alignment horizontal="center" vertical="center"/>
    </xf>
    <xf numFmtId="0" fontId="65" fillId="3" borderId="23" xfId="0" applyFont="1" applyFill="1" applyBorder="1" applyAlignment="1">
      <alignment vertical="center"/>
    </xf>
    <xf numFmtId="177" fontId="65" fillId="3" borderId="23" xfId="24" applyFont="1" applyFill="1" applyBorder="1" applyAlignment="1" applyProtection="1">
      <alignment vertical="center"/>
    </xf>
    <xf numFmtId="177" fontId="65" fillId="3" borderId="23" xfId="24" applyFont="1" applyFill="1" applyBorder="1" applyAlignment="1" applyProtection="1">
      <alignment horizontal="center" vertical="center"/>
    </xf>
    <xf numFmtId="0" fontId="70" fillId="2" borderId="6" xfId="0" applyFont="1" applyFill="1" applyBorder="1" applyAlignment="1">
      <alignment horizontal="center" vertical="center"/>
    </xf>
    <xf numFmtId="4" fontId="70" fillId="2" borderId="6" xfId="0" applyNumberFormat="1" applyFont="1" applyFill="1" applyBorder="1" applyAlignment="1">
      <alignment horizontal="center" vertical="center"/>
    </xf>
    <xf numFmtId="1" fontId="70" fillId="2" borderId="6" xfId="0" applyNumberFormat="1" applyFont="1" applyFill="1" applyBorder="1" applyAlignment="1">
      <alignment horizontal="center" vertical="center"/>
    </xf>
    <xf numFmtId="10" fontId="70" fillId="2" borderId="6" xfId="19" applyNumberFormat="1" applyFont="1" applyFill="1" applyBorder="1" applyAlignment="1" applyProtection="1">
      <alignment horizontal="center" vertical="center"/>
    </xf>
    <xf numFmtId="10" fontId="70" fillId="2" borderId="6" xfId="0" applyNumberFormat="1" applyFont="1" applyFill="1" applyBorder="1" applyAlignment="1">
      <alignment horizontal="center" vertical="center"/>
    </xf>
    <xf numFmtId="177" fontId="70" fillId="2" borderId="6" xfId="24" applyFont="1" applyFill="1" applyBorder="1" applyAlignment="1" applyProtection="1">
      <alignment horizontal="center" vertical="center"/>
    </xf>
    <xf numFmtId="2" fontId="70" fillId="2" borderId="6" xfId="0" applyNumberFormat="1" applyFont="1" applyFill="1" applyBorder="1" applyAlignment="1">
      <alignment horizontal="center" vertical="center"/>
    </xf>
    <xf numFmtId="174" fontId="70" fillId="2" borderId="6" xfId="0" applyNumberFormat="1" applyFont="1" applyFill="1" applyBorder="1" applyAlignment="1">
      <alignment horizontal="center" vertical="center"/>
    </xf>
    <xf numFmtId="167" fontId="70" fillId="2" borderId="6" xfId="0" applyNumberFormat="1" applyFont="1" applyFill="1" applyBorder="1" applyAlignment="1">
      <alignment horizontal="center" vertical="center"/>
    </xf>
    <xf numFmtId="0" fontId="64" fillId="3" borderId="6" xfId="0" applyFont="1" applyFill="1" applyBorder="1" applyAlignment="1">
      <alignment vertical="center"/>
    </xf>
    <xf numFmtId="172" fontId="65" fillId="3" borderId="6" xfId="0" applyNumberFormat="1" applyFont="1" applyFill="1" applyBorder="1" applyAlignment="1">
      <alignment horizontal="center" vertical="center" wrapText="1"/>
    </xf>
    <xf numFmtId="4" fontId="71" fillId="3" borderId="6" xfId="0" applyNumberFormat="1" applyFont="1" applyFill="1" applyBorder="1" applyAlignment="1">
      <alignment horizontal="center" vertical="center"/>
    </xf>
    <xf numFmtId="172" fontId="71" fillId="3" borderId="6" xfId="0" applyNumberFormat="1" applyFont="1" applyFill="1" applyBorder="1" applyAlignment="1">
      <alignment horizontal="center" vertical="center" wrapText="1"/>
    </xf>
    <xf numFmtId="0" fontId="72" fillId="3" borderId="29" xfId="0" applyFont="1" applyFill="1" applyBorder="1" applyAlignment="1">
      <alignment horizontal="left" vertical="center" wrapText="1"/>
    </xf>
    <xf numFmtId="0" fontId="72" fillId="3" borderId="8" xfId="0" applyFont="1" applyFill="1" applyBorder="1" applyAlignment="1">
      <alignment horizontal="left" vertical="center" wrapText="1"/>
    </xf>
    <xf numFmtId="0" fontId="72" fillId="3" borderId="22" xfId="0" applyFont="1" applyFill="1" applyBorder="1" applyAlignment="1">
      <alignment horizontal="left" vertical="center" wrapText="1"/>
    </xf>
    <xf numFmtId="0" fontId="73" fillId="3" borderId="6" xfId="0" applyFont="1" applyFill="1" applyBorder="1" applyAlignment="1">
      <alignment horizontal="center" vertical="center" wrapText="1"/>
    </xf>
    <xf numFmtId="14" fontId="56" fillId="2" borderId="6" xfId="0" applyNumberFormat="1" applyFont="1" applyFill="1" applyBorder="1" applyAlignment="1" applyProtection="1">
      <alignment horizontal="center" vertical="center" wrapText="1"/>
      <protection locked="0"/>
    </xf>
    <xf numFmtId="14" fontId="56" fillId="2" borderId="23" xfId="0" applyNumberFormat="1" applyFont="1" applyFill="1" applyBorder="1" applyAlignment="1" applyProtection="1">
      <alignment horizontal="center" vertical="center" wrapText="1"/>
      <protection locked="0"/>
    </xf>
    <xf numFmtId="0" fontId="56" fillId="2" borderId="0" xfId="0" applyFont="1" applyFill="1" applyAlignment="1">
      <alignment horizontal="center" vertical="center"/>
    </xf>
    <xf numFmtId="0" fontId="56" fillId="2" borderId="0" xfId="0" applyFont="1" applyFill="1" applyAlignment="1">
      <alignment horizontal="center"/>
    </xf>
    <xf numFmtId="14" fontId="73" fillId="3" borderId="28" xfId="0" applyNumberFormat="1" applyFont="1" applyFill="1" applyBorder="1" applyAlignment="1">
      <alignment horizontal="center" vertical="center" wrapText="1"/>
    </xf>
    <xf numFmtId="0" fontId="73" fillId="3" borderId="15" xfId="0" applyFont="1" applyFill="1" applyBorder="1" applyAlignment="1">
      <alignment horizontal="center" vertical="center" wrapText="1"/>
    </xf>
    <xf numFmtId="3" fontId="56" fillId="2" borderId="6" xfId="0" applyNumberFormat="1" applyFont="1" applyFill="1" applyBorder="1" applyAlignment="1" applyProtection="1">
      <alignment horizontal="center" vertical="center" wrapText="1"/>
      <protection locked="0"/>
    </xf>
    <xf numFmtId="4" fontId="56" fillId="2" borderId="15" xfId="0" applyNumberFormat="1" applyFont="1" applyFill="1" applyBorder="1" applyAlignment="1" applyProtection="1">
      <alignment horizontal="center" vertical="center" wrapText="1"/>
      <protection locked="0"/>
    </xf>
    <xf numFmtId="4" fontId="64" fillId="3" borderId="23" xfId="0" applyNumberFormat="1" applyFont="1" applyFill="1" applyBorder="1" applyAlignment="1">
      <alignment vertical="center"/>
    </xf>
    <xf numFmtId="4" fontId="64" fillId="3" borderId="28" xfId="0" applyNumberFormat="1" applyFont="1" applyFill="1" applyBorder="1" applyAlignment="1">
      <alignment vertical="center"/>
    </xf>
    <xf numFmtId="0" fontId="65" fillId="3" borderId="1" xfId="0" applyFont="1" applyFill="1" applyBorder="1" applyAlignment="1">
      <alignment horizontal="center" vertical="center"/>
    </xf>
    <xf numFmtId="0" fontId="65" fillId="3" borderId="2" xfId="0" applyFont="1" applyFill="1" applyBorder="1" applyAlignment="1">
      <alignment horizontal="center" vertical="center"/>
    </xf>
    <xf numFmtId="0" fontId="65" fillId="3" borderId="2" xfId="0" applyFont="1" applyFill="1" applyBorder="1" applyAlignment="1">
      <alignment horizontal="center" vertical="center" wrapText="1"/>
    </xf>
    <xf numFmtId="10" fontId="65" fillId="3" borderId="2" xfId="0" applyNumberFormat="1" applyFont="1" applyFill="1" applyBorder="1" applyAlignment="1">
      <alignment horizontal="center" vertical="center" wrapText="1"/>
    </xf>
    <xf numFmtId="0" fontId="65" fillId="3" borderId="13" xfId="0" applyFont="1" applyFill="1" applyBorder="1" applyAlignment="1">
      <alignment horizontal="center" vertical="center" wrapText="1"/>
    </xf>
    <xf numFmtId="0" fontId="65" fillId="3" borderId="6" xfId="0" applyFont="1" applyFill="1" applyBorder="1" applyAlignment="1">
      <alignment vertical="center"/>
    </xf>
    <xf numFmtId="10" fontId="65" fillId="3" borderId="6" xfId="0" applyNumberFormat="1" applyFont="1" applyFill="1" applyBorder="1" applyAlignment="1">
      <alignment horizontal="center" vertical="center"/>
    </xf>
    <xf numFmtId="169" fontId="65" fillId="3" borderId="15" xfId="19" applyNumberFormat="1" applyFont="1" applyFill="1" applyBorder="1" applyAlignment="1" applyProtection="1">
      <alignment horizontal="center" vertical="center"/>
    </xf>
    <xf numFmtId="4" fontId="65" fillId="3" borderId="2" xfId="0" applyNumberFormat="1" applyFont="1" applyFill="1" applyBorder="1" applyAlignment="1">
      <alignment horizontal="center" vertical="center"/>
    </xf>
    <xf numFmtId="10" fontId="65" fillId="3" borderId="2" xfId="0" applyNumberFormat="1" applyFont="1" applyFill="1" applyBorder="1" applyAlignment="1">
      <alignment horizontal="center" vertical="center"/>
    </xf>
    <xf numFmtId="169" fontId="65" fillId="3" borderId="13" xfId="19" applyNumberFormat="1" applyFont="1" applyFill="1" applyBorder="1" applyAlignment="1" applyProtection="1">
      <alignment horizontal="center" vertical="center"/>
    </xf>
    <xf numFmtId="0" fontId="65" fillId="3" borderId="11" xfId="0" applyFont="1" applyFill="1" applyBorder="1" applyAlignment="1">
      <alignment horizontal="center" vertical="center" wrapText="1"/>
    </xf>
    <xf numFmtId="10" fontId="65" fillId="3" borderId="11" xfId="0" applyNumberFormat="1" applyFont="1" applyFill="1" applyBorder="1" applyAlignment="1">
      <alignment horizontal="center" vertical="center" wrapText="1"/>
    </xf>
    <xf numFmtId="0" fontId="65" fillId="2" borderId="0" xfId="0" applyFont="1" applyFill="1" applyAlignment="1">
      <alignment horizontal="center" vertical="center" wrapText="1"/>
    </xf>
    <xf numFmtId="0" fontId="65" fillId="2" borderId="0" xfId="0" applyFont="1" applyFill="1" applyAlignment="1">
      <alignment vertical="center" wrapText="1"/>
    </xf>
    <xf numFmtId="10" fontId="65" fillId="2" borderId="0" xfId="0" applyNumberFormat="1" applyFont="1" applyFill="1" applyAlignment="1">
      <alignment horizontal="center" vertical="center" wrapText="1"/>
    </xf>
    <xf numFmtId="4" fontId="65" fillId="3" borderId="11" xfId="0" applyNumberFormat="1" applyFont="1" applyFill="1" applyBorder="1" applyAlignment="1">
      <alignment horizontal="center" vertical="center"/>
    </xf>
    <xf numFmtId="10" fontId="65" fillId="3" borderId="11" xfId="0" applyNumberFormat="1" applyFont="1" applyFill="1" applyBorder="1" applyAlignment="1">
      <alignment horizontal="center" vertical="center"/>
    </xf>
    <xf numFmtId="4" fontId="65" fillId="2" borderId="0" xfId="0" applyNumberFormat="1" applyFont="1" applyFill="1" applyAlignment="1">
      <alignment horizontal="center" vertical="center"/>
    </xf>
    <xf numFmtId="4" fontId="65" fillId="2" borderId="0" xfId="0" applyNumberFormat="1" applyFont="1" applyFill="1" applyAlignment="1">
      <alignment vertical="center"/>
    </xf>
    <xf numFmtId="168" fontId="65" fillId="2" borderId="0" xfId="0" applyNumberFormat="1" applyFont="1" applyFill="1" applyAlignment="1">
      <alignment horizontal="center" vertical="center"/>
    </xf>
    <xf numFmtId="10" fontId="65" fillId="2" borderId="0" xfId="0" applyNumberFormat="1" applyFont="1" applyFill="1" applyAlignment="1">
      <alignment horizontal="center" vertical="center"/>
    </xf>
    <xf numFmtId="0" fontId="59" fillId="2" borderId="0" xfId="0" applyFont="1" applyFill="1"/>
    <xf numFmtId="0" fontId="65" fillId="3" borderId="1" xfId="0" applyFont="1" applyFill="1" applyBorder="1" applyAlignment="1">
      <alignment horizontal="center" vertical="center" wrapText="1"/>
    </xf>
    <xf numFmtId="0" fontId="77" fillId="3" borderId="1" xfId="0" applyFont="1" applyFill="1" applyBorder="1" applyAlignment="1">
      <alignment horizontal="center" vertical="center" wrapText="1"/>
    </xf>
    <xf numFmtId="4" fontId="77" fillId="3" borderId="1" xfId="0" applyNumberFormat="1" applyFont="1" applyFill="1" applyBorder="1" applyAlignment="1">
      <alignment horizontal="center" vertical="center" wrapText="1"/>
    </xf>
    <xf numFmtId="4" fontId="59" fillId="0" borderId="7" xfId="0" applyNumberFormat="1" applyFont="1" applyBorder="1" applyAlignment="1">
      <alignment horizontal="center" vertical="center"/>
    </xf>
    <xf numFmtId="2" fontId="65" fillId="3" borderId="1" xfId="0" applyNumberFormat="1" applyFont="1" applyFill="1" applyBorder="1" applyAlignment="1">
      <alignment horizontal="center" vertical="center" wrapText="1"/>
    </xf>
    <xf numFmtId="4" fontId="65" fillId="3" borderId="1" xfId="0" applyNumberFormat="1" applyFont="1" applyFill="1" applyBorder="1" applyAlignment="1">
      <alignment horizontal="center" vertical="center" wrapText="1"/>
    </xf>
    <xf numFmtId="10" fontId="65" fillId="3" borderId="1" xfId="0" applyNumberFormat="1" applyFont="1" applyFill="1" applyBorder="1" applyAlignment="1">
      <alignment horizontal="center" vertical="center" wrapText="1"/>
    </xf>
    <xf numFmtId="0" fontId="69" fillId="3" borderId="16" xfId="0" applyFont="1" applyFill="1" applyBorder="1" applyAlignment="1">
      <alignment horizontal="left" vertical="center"/>
    </xf>
    <xf numFmtId="0" fontId="77" fillId="3" borderId="17" xfId="0" applyFont="1" applyFill="1" applyBorder="1" applyAlignment="1">
      <alignment horizontal="center" vertical="center"/>
    </xf>
    <xf numFmtId="10" fontId="77" fillId="3" borderId="17" xfId="0" applyNumberFormat="1" applyFont="1" applyFill="1" applyBorder="1" applyAlignment="1">
      <alignment horizontal="center" vertical="center"/>
    </xf>
    <xf numFmtId="0" fontId="77" fillId="3" borderId="18" xfId="0" applyFont="1" applyFill="1" applyBorder="1" applyAlignment="1">
      <alignment horizontal="center" vertical="center"/>
    </xf>
    <xf numFmtId="0" fontId="77" fillId="2" borderId="0" xfId="0" applyFont="1" applyFill="1" applyAlignment="1">
      <alignment horizontal="center" vertical="center"/>
    </xf>
    <xf numFmtId="0" fontId="65" fillId="3" borderId="19" xfId="0" applyFont="1" applyFill="1" applyBorder="1" applyAlignment="1">
      <alignment horizontal="left" vertical="center"/>
    </xf>
    <xf numFmtId="0" fontId="77" fillId="3" borderId="0" xfId="0" applyFont="1" applyFill="1" applyAlignment="1">
      <alignment horizontal="center" vertical="center"/>
    </xf>
    <xf numFmtId="10" fontId="77" fillId="3" borderId="0" xfId="0" applyNumberFormat="1" applyFont="1" applyFill="1" applyAlignment="1">
      <alignment horizontal="center" vertical="center"/>
    </xf>
    <xf numFmtId="0" fontId="77" fillId="3" borderId="24" xfId="0" applyFont="1" applyFill="1" applyBorder="1" applyAlignment="1">
      <alignment horizontal="center" vertical="center"/>
    </xf>
    <xf numFmtId="0" fontId="69" fillId="4" borderId="19" xfId="0" applyFont="1" applyFill="1" applyBorder="1" applyAlignment="1">
      <alignment horizontal="left" vertical="center"/>
    </xf>
    <xf numFmtId="0" fontId="77" fillId="4" borderId="0" xfId="0" applyFont="1" applyFill="1"/>
    <xf numFmtId="10" fontId="77" fillId="4" borderId="0" xfId="0" applyNumberFormat="1" applyFont="1" applyFill="1"/>
    <xf numFmtId="0" fontId="77" fillId="4" borderId="24" xfId="0" applyFont="1" applyFill="1" applyBorder="1"/>
    <xf numFmtId="0" fontId="77" fillId="2" borderId="0" xfId="0" applyFont="1" applyFill="1"/>
    <xf numFmtId="0" fontId="77" fillId="3" borderId="0" xfId="0" applyFont="1" applyFill="1"/>
    <xf numFmtId="10" fontId="77" fillId="3" borderId="0" xfId="0" applyNumberFormat="1" applyFont="1" applyFill="1"/>
    <xf numFmtId="0" fontId="77" fillId="3" borderId="24" xfId="0" applyFont="1" applyFill="1" applyBorder="1"/>
    <xf numFmtId="0" fontId="73" fillId="3" borderId="19" xfId="0" applyFont="1" applyFill="1" applyBorder="1" applyAlignment="1">
      <alignment horizontal="left" vertical="center"/>
    </xf>
    <xf numFmtId="0" fontId="77" fillId="3" borderId="0" xfId="0" applyFont="1" applyFill="1" applyAlignment="1">
      <alignment wrapText="1"/>
    </xf>
    <xf numFmtId="0" fontId="77" fillId="3" borderId="19" xfId="0" applyFont="1" applyFill="1" applyBorder="1" applyAlignment="1">
      <alignment horizontal="left" vertical="center"/>
    </xf>
    <xf numFmtId="0" fontId="69" fillId="3" borderId="19" xfId="0" applyFont="1" applyFill="1" applyBorder="1" applyAlignment="1">
      <alignment horizontal="left" vertical="center"/>
    </xf>
    <xf numFmtId="0" fontId="74" fillId="3" borderId="19" xfId="0" applyFont="1" applyFill="1" applyBorder="1" applyAlignment="1">
      <alignment horizontal="left" vertical="center"/>
    </xf>
    <xf numFmtId="0" fontId="65" fillId="3" borderId="20" xfId="0" applyFont="1" applyFill="1" applyBorder="1" applyAlignment="1">
      <alignment horizontal="left" vertical="center"/>
    </xf>
    <xf numFmtId="0" fontId="77" fillId="3" borderId="21" xfId="0" applyFont="1" applyFill="1" applyBorder="1"/>
    <xf numFmtId="10" fontId="77" fillId="3" borderId="21" xfId="0" applyNumberFormat="1" applyFont="1" applyFill="1" applyBorder="1"/>
    <xf numFmtId="0" fontId="77" fillId="3" borderId="25" xfId="0" applyFont="1" applyFill="1" applyBorder="1"/>
    <xf numFmtId="1" fontId="56" fillId="2" borderId="6" xfId="0" applyNumberFormat="1" applyFont="1" applyFill="1" applyBorder="1" applyAlignment="1" applyProtection="1">
      <alignment horizontal="center" vertical="center" wrapText="1"/>
      <protection locked="0"/>
    </xf>
    <xf numFmtId="14" fontId="56" fillId="2" borderId="6" xfId="0" applyNumberFormat="1" applyFont="1" applyFill="1" applyBorder="1" applyAlignment="1" applyProtection="1">
      <alignment vertical="center" wrapText="1"/>
      <protection locked="0"/>
    </xf>
    <xf numFmtId="3" fontId="56" fillId="2" borderId="6" xfId="0" applyNumberFormat="1" applyFont="1" applyFill="1" applyBorder="1" applyAlignment="1" applyProtection="1">
      <alignment vertical="center" wrapText="1"/>
      <protection locked="0"/>
    </xf>
    <xf numFmtId="0" fontId="59" fillId="2" borderId="3" xfId="0" applyFont="1" applyFill="1" applyBorder="1" applyAlignment="1">
      <alignment horizontal="center" vertical="center"/>
    </xf>
    <xf numFmtId="10" fontId="65" fillId="3" borderId="0" xfId="0" applyNumberFormat="1" applyFont="1" applyFill="1"/>
    <xf numFmtId="10" fontId="73" fillId="3" borderId="0" xfId="0" applyNumberFormat="1" applyFont="1" applyFill="1"/>
    <xf numFmtId="0" fontId="73" fillId="3" borderId="0" xfId="0" applyFont="1" applyFill="1" applyAlignment="1">
      <alignment vertical="center" wrapText="1"/>
    </xf>
    <xf numFmtId="0" fontId="73" fillId="3" borderId="19" xfId="0" applyFont="1" applyFill="1" applyBorder="1" applyAlignment="1">
      <alignment vertical="top" wrapText="1"/>
    </xf>
    <xf numFmtId="10" fontId="73" fillId="3" borderId="0" xfId="0" applyNumberFormat="1" applyFont="1" applyFill="1" applyAlignment="1">
      <alignment vertical="top" wrapText="1"/>
    </xf>
    <xf numFmtId="10" fontId="73" fillId="3" borderId="0" xfId="0" applyNumberFormat="1" applyFont="1" applyFill="1" applyAlignment="1">
      <alignment vertical="top"/>
    </xf>
    <xf numFmtId="0" fontId="73" fillId="3" borderId="19" xfId="0" applyFont="1" applyFill="1" applyBorder="1" applyAlignment="1">
      <alignment vertical="center"/>
    </xf>
    <xf numFmtId="0" fontId="73" fillId="3" borderId="0" xfId="0" applyFont="1" applyFill="1" applyAlignment="1">
      <alignment vertical="center"/>
    </xf>
    <xf numFmtId="10" fontId="77" fillId="2" borderId="0" xfId="0" applyNumberFormat="1" applyFont="1" applyFill="1"/>
    <xf numFmtId="0" fontId="13" fillId="2" borderId="0" xfId="0" applyFont="1" applyFill="1" applyAlignment="1">
      <alignment horizontal="left" vertical="center"/>
    </xf>
    <xf numFmtId="0" fontId="12" fillId="2" borderId="0" xfId="18" applyFont="1" applyFill="1" applyBorder="1" applyAlignment="1" applyProtection="1">
      <alignment horizontal="center" vertical="center" wrapText="1"/>
    </xf>
    <xf numFmtId="0" fontId="13" fillId="2" borderId="0" xfId="0" applyFont="1" applyFill="1" applyAlignment="1">
      <alignment horizontal="left" vertical="center" wrapText="1"/>
    </xf>
    <xf numFmtId="0" fontId="13" fillId="2" borderId="16" xfId="0" applyFont="1" applyFill="1" applyBorder="1"/>
    <xf numFmtId="0" fontId="13" fillId="2" borderId="18" xfId="0" applyFont="1" applyFill="1" applyBorder="1"/>
    <xf numFmtId="0" fontId="13" fillId="2" borderId="19" xfId="0" applyFont="1" applyFill="1" applyBorder="1"/>
    <xf numFmtId="0" fontId="13" fillId="2" borderId="0" xfId="0" applyFont="1" applyFill="1" applyAlignment="1">
      <alignment horizontal="justify" vertical="center" wrapText="1"/>
    </xf>
    <xf numFmtId="0" fontId="13" fillId="2" borderId="24" xfId="0" applyFont="1" applyFill="1" applyBorder="1"/>
    <xf numFmtId="0" fontId="13" fillId="2" borderId="20" xfId="0" applyFont="1" applyFill="1" applyBorder="1"/>
    <xf numFmtId="0" fontId="13" fillId="2" borderId="21" xfId="0" applyFont="1" applyFill="1" applyBorder="1" applyAlignment="1">
      <alignment horizontal="justify" vertical="center" wrapText="1"/>
    </xf>
    <xf numFmtId="0" fontId="13" fillId="2" borderId="21" xfId="0" applyFont="1" applyFill="1" applyBorder="1" applyAlignment="1">
      <alignment horizontal="left" vertical="center" wrapText="1"/>
    </xf>
    <xf numFmtId="0" fontId="13" fillId="2" borderId="25" xfId="0" applyFont="1" applyFill="1" applyBorder="1"/>
    <xf numFmtId="4" fontId="14" fillId="2" borderId="0" xfId="0" applyNumberFormat="1" applyFont="1" applyFill="1" applyAlignment="1">
      <alignment horizontal="center" vertical="center" wrapText="1"/>
    </xf>
    <xf numFmtId="10" fontId="14" fillId="2" borderId="0" xfId="0" applyNumberFormat="1" applyFont="1" applyFill="1" applyAlignment="1">
      <alignment horizontal="center" vertical="center" wrapText="1"/>
    </xf>
    <xf numFmtId="0" fontId="14" fillId="2" borderId="0" xfId="0" applyFont="1" applyFill="1" applyAlignment="1">
      <alignment vertical="center"/>
    </xf>
    <xf numFmtId="0" fontId="13" fillId="2" borderId="0" xfId="0" applyFont="1" applyFill="1" applyAlignment="1">
      <alignment horizontal="justify" vertical="center"/>
    </xf>
    <xf numFmtId="1" fontId="13" fillId="2" borderId="0" xfId="0" applyNumberFormat="1" applyFont="1" applyFill="1" applyAlignment="1">
      <alignment horizontal="justify" vertical="center"/>
    </xf>
    <xf numFmtId="10" fontId="13" fillId="2" borderId="0" xfId="19" applyNumberFormat="1" applyFont="1" applyFill="1" applyBorder="1" applyAlignment="1" applyProtection="1">
      <alignment horizontal="justify" vertical="center"/>
    </xf>
    <xf numFmtId="10" fontId="13" fillId="2" borderId="0" xfId="0" applyNumberFormat="1" applyFont="1" applyFill="1" applyAlignment="1">
      <alignment horizontal="justify" vertical="center"/>
    </xf>
    <xf numFmtId="14" fontId="12" fillId="2" borderId="0" xfId="0" applyNumberFormat="1" applyFont="1" applyFill="1" applyAlignment="1">
      <alignment horizontal="left" vertical="center"/>
    </xf>
    <xf numFmtId="177" fontId="12" fillId="2" borderId="0" xfId="24" applyFont="1" applyFill="1" applyBorder="1" applyAlignment="1" applyProtection="1">
      <alignment horizontal="center" vertical="center"/>
    </xf>
    <xf numFmtId="10" fontId="12" fillId="2" borderId="0" xfId="0" applyNumberFormat="1" applyFont="1" applyFill="1" applyAlignment="1">
      <alignment horizontal="left" vertical="center"/>
    </xf>
    <xf numFmtId="2" fontId="12" fillId="2" borderId="0" xfId="0" applyNumberFormat="1" applyFont="1" applyFill="1" applyAlignment="1">
      <alignment horizontal="left" vertical="center"/>
    </xf>
    <xf numFmtId="174" fontId="13" fillId="2" borderId="0" xfId="0" applyNumberFormat="1" applyFont="1" applyFill="1" applyAlignment="1">
      <alignment horizontal="justify" vertical="center"/>
    </xf>
    <xf numFmtId="177" fontId="12" fillId="2" borderId="0" xfId="24" applyFont="1" applyFill="1" applyBorder="1" applyAlignment="1" applyProtection="1">
      <alignment horizontal="left" vertical="center"/>
    </xf>
    <xf numFmtId="167" fontId="12" fillId="2" borderId="0" xfId="0" applyNumberFormat="1" applyFont="1" applyFill="1" applyAlignment="1">
      <alignment horizontal="left" vertical="center"/>
    </xf>
    <xf numFmtId="4" fontId="12" fillId="3" borderId="6" xfId="0" applyNumberFormat="1" applyFont="1" applyFill="1" applyBorder="1" applyAlignment="1">
      <alignment horizontal="center" vertical="center" wrapText="1"/>
    </xf>
    <xf numFmtId="10" fontId="12" fillId="3" borderId="6" xfId="19" applyNumberFormat="1" applyFont="1" applyFill="1" applyBorder="1" applyAlignment="1" applyProtection="1">
      <alignment horizontal="center" vertical="center" wrapText="1"/>
    </xf>
    <xf numFmtId="177" fontId="12" fillId="3" borderId="6" xfId="24" applyFont="1" applyFill="1" applyBorder="1" applyAlignment="1" applyProtection="1">
      <alignment horizontal="center" vertical="center" wrapText="1"/>
    </xf>
    <xf numFmtId="2" fontId="12" fillId="3" borderId="6" xfId="0" applyNumberFormat="1" applyFont="1" applyFill="1" applyBorder="1" applyAlignment="1">
      <alignment horizontal="center" vertical="center" wrapText="1"/>
    </xf>
    <xf numFmtId="167" fontId="12" fillId="3" borderId="6" xfId="0" applyNumberFormat="1" applyFont="1" applyFill="1" applyBorder="1" applyAlignment="1">
      <alignment horizontal="center" vertical="center" wrapText="1"/>
    </xf>
    <xf numFmtId="172" fontId="13" fillId="5" borderId="6" xfId="0" applyNumberFormat="1" applyFont="1" applyFill="1" applyBorder="1" applyAlignment="1">
      <alignment horizontal="center" vertical="center" wrapText="1"/>
    </xf>
    <xf numFmtId="177" fontId="13" fillId="5" borderId="6" xfId="24" applyFont="1" applyFill="1" applyBorder="1" applyAlignment="1" applyProtection="1">
      <alignment horizontal="center" vertical="center"/>
    </xf>
    <xf numFmtId="2" fontId="13" fillId="5" borderId="6" xfId="0" applyNumberFormat="1" applyFont="1" applyFill="1" applyBorder="1" applyAlignment="1">
      <alignment horizontal="center" vertical="center" wrapText="1"/>
    </xf>
    <xf numFmtId="167" fontId="13" fillId="5" borderId="6" xfId="0" applyNumberFormat="1" applyFont="1" applyFill="1" applyBorder="1" applyAlignment="1">
      <alignment horizontal="center" vertical="center" wrapText="1"/>
    </xf>
    <xf numFmtId="172" fontId="13" fillId="5" borderId="15" xfId="0" applyNumberFormat="1" applyFont="1" applyFill="1" applyBorder="1" applyAlignment="1">
      <alignment horizontal="center" vertical="center" wrapText="1"/>
    </xf>
    <xf numFmtId="174" fontId="13" fillId="5" borderId="6" xfId="0" applyNumberFormat="1" applyFont="1" applyFill="1" applyBorder="1" applyAlignment="1">
      <alignment horizontal="center" vertical="center" wrapText="1"/>
    </xf>
    <xf numFmtId="0" fontId="12" fillId="3" borderId="8" xfId="0" applyFont="1" applyFill="1" applyBorder="1" applyAlignment="1">
      <alignment vertical="center"/>
    </xf>
    <xf numFmtId="0" fontId="12" fillId="3" borderId="6" xfId="0" applyFont="1" applyFill="1" applyBorder="1" applyAlignment="1">
      <alignment vertical="center"/>
    </xf>
    <xf numFmtId="0" fontId="12" fillId="3" borderId="6" xfId="0" applyFont="1" applyFill="1" applyBorder="1" applyAlignment="1" applyProtection="1">
      <alignment vertical="center"/>
      <protection locked="0"/>
    </xf>
    <xf numFmtId="10" fontId="12" fillId="3" borderId="6" xfId="19" applyNumberFormat="1" applyFont="1" applyFill="1" applyBorder="1" applyAlignment="1" applyProtection="1">
      <alignment vertical="center"/>
    </xf>
    <xf numFmtId="166" fontId="12" fillId="3" borderId="6" xfId="0" applyNumberFormat="1" applyFont="1" applyFill="1" applyBorder="1" applyAlignment="1">
      <alignment vertical="center"/>
    </xf>
    <xf numFmtId="177" fontId="12" fillId="3" borderId="6" xfId="24" applyFont="1" applyFill="1" applyBorder="1" applyAlignment="1" applyProtection="1">
      <alignment horizontal="center" vertical="center"/>
    </xf>
    <xf numFmtId="2" fontId="12" fillId="3" borderId="6" xfId="0" applyNumberFormat="1" applyFont="1" applyFill="1" applyBorder="1" applyAlignment="1">
      <alignment vertical="center"/>
    </xf>
    <xf numFmtId="4" fontId="12" fillId="3" borderId="6" xfId="0" applyNumberFormat="1" applyFont="1" applyFill="1" applyBorder="1" applyAlignment="1">
      <alignment horizontal="center" vertical="center"/>
    </xf>
    <xf numFmtId="172" fontId="14" fillId="3" borderId="6" xfId="0" applyNumberFormat="1" applyFont="1" applyFill="1" applyBorder="1" applyAlignment="1">
      <alignment horizontal="center" vertical="center" wrapText="1"/>
    </xf>
    <xf numFmtId="174" fontId="12" fillId="3" borderId="6" xfId="0" applyNumberFormat="1" applyFont="1" applyFill="1" applyBorder="1" applyAlignment="1">
      <alignment vertical="center"/>
    </xf>
    <xf numFmtId="177" fontId="12" fillId="3" borderId="6" xfId="24" applyFont="1" applyFill="1" applyBorder="1" applyAlignment="1" applyProtection="1">
      <alignment vertical="center"/>
    </xf>
    <xf numFmtId="167" fontId="12" fillId="3" borderId="6" xfId="0" applyNumberFormat="1" applyFont="1" applyFill="1" applyBorder="1" applyAlignment="1">
      <alignment vertical="center"/>
    </xf>
    <xf numFmtId="10" fontId="12" fillId="3" borderId="6" xfId="0" applyNumberFormat="1" applyFont="1" applyFill="1" applyBorder="1" applyAlignment="1">
      <alignment horizontal="center" vertical="center"/>
    </xf>
    <xf numFmtId="2" fontId="12" fillId="3" borderId="6" xfId="0" applyNumberFormat="1" applyFont="1" applyFill="1" applyBorder="1" applyAlignment="1">
      <alignment horizontal="center" vertical="center"/>
    </xf>
    <xf numFmtId="172" fontId="14" fillId="3" borderId="15" xfId="0" applyNumberFormat="1" applyFont="1" applyFill="1" applyBorder="1" applyAlignment="1">
      <alignment horizontal="center" vertical="center" wrapText="1"/>
    </xf>
    <xf numFmtId="0" fontId="12" fillId="3" borderId="36" xfId="0" applyFont="1" applyFill="1" applyBorder="1" applyAlignment="1">
      <alignment vertical="center"/>
    </xf>
    <xf numFmtId="165" fontId="13" fillId="5" borderId="6" xfId="0" applyNumberFormat="1" applyFont="1" applyFill="1" applyBorder="1" applyAlignment="1">
      <alignment horizontal="center" vertical="center" wrapText="1"/>
    </xf>
    <xf numFmtId="164" fontId="13" fillId="5" borderId="6" xfId="0" applyNumberFormat="1" applyFont="1" applyFill="1" applyBorder="1" applyAlignment="1">
      <alignment horizontal="center" vertical="center" wrapText="1"/>
    </xf>
    <xf numFmtId="177" fontId="13" fillId="5" borderId="6" xfId="24" applyFont="1" applyFill="1" applyBorder="1" applyAlignment="1" applyProtection="1">
      <alignment horizontal="left" vertical="center"/>
    </xf>
    <xf numFmtId="4" fontId="12" fillId="3" borderId="6" xfId="0" applyNumberFormat="1" applyFont="1" applyFill="1" applyBorder="1" applyAlignment="1" applyProtection="1">
      <alignment horizontal="center" vertical="center" wrapText="1"/>
      <protection locked="0"/>
    </xf>
    <xf numFmtId="172" fontId="11" fillId="3" borderId="28" xfId="0" applyNumberFormat="1" applyFont="1" applyFill="1" applyBorder="1" applyAlignment="1">
      <alignment horizontal="center" vertical="center" wrapText="1"/>
    </xf>
    <xf numFmtId="0" fontId="12" fillId="2" borderId="4" xfId="0" applyFont="1" applyFill="1" applyBorder="1" applyAlignment="1">
      <alignment horizontal="center" vertical="center"/>
    </xf>
    <xf numFmtId="4" fontId="12" fillId="2" borderId="4" xfId="0" applyNumberFormat="1" applyFont="1" applyFill="1" applyBorder="1" applyAlignment="1">
      <alignment horizontal="center" vertical="center"/>
    </xf>
    <xf numFmtId="1" fontId="12" fillId="2" borderId="4" xfId="0" applyNumberFormat="1" applyFont="1" applyFill="1" applyBorder="1" applyAlignment="1">
      <alignment horizontal="center" vertical="center"/>
    </xf>
    <xf numFmtId="10" fontId="12" fillId="2" borderId="4" xfId="19" applyNumberFormat="1" applyFont="1" applyFill="1" applyBorder="1" applyAlignment="1" applyProtection="1">
      <alignment horizontal="center" vertical="center"/>
    </xf>
    <xf numFmtId="10" fontId="12" fillId="2" borderId="4" xfId="0" applyNumberFormat="1" applyFont="1" applyFill="1" applyBorder="1" applyAlignment="1">
      <alignment horizontal="center" vertical="center"/>
    </xf>
    <xf numFmtId="177" fontId="12" fillId="2" borderId="4" xfId="24" applyFont="1" applyFill="1" applyBorder="1" applyAlignment="1" applyProtection="1">
      <alignment horizontal="center" vertical="center"/>
    </xf>
    <xf numFmtId="2" fontId="12" fillId="2" borderId="4" xfId="0" applyNumberFormat="1" applyFont="1" applyFill="1" applyBorder="1" applyAlignment="1">
      <alignment horizontal="center" vertical="center"/>
    </xf>
    <xf numFmtId="174" fontId="12" fillId="2" borderId="4" xfId="0" applyNumberFormat="1" applyFont="1" applyFill="1" applyBorder="1" applyAlignment="1">
      <alignment horizontal="center" vertical="center"/>
    </xf>
    <xf numFmtId="167" fontId="12" fillId="2" borderId="4" xfId="0" applyNumberFormat="1" applyFont="1" applyFill="1" applyBorder="1" applyAlignment="1">
      <alignment horizontal="center" vertical="center"/>
    </xf>
    <xf numFmtId="0" fontId="11" fillId="3" borderId="6" xfId="0" applyFont="1" applyFill="1" applyBorder="1" applyAlignment="1">
      <alignment vertical="center"/>
    </xf>
    <xf numFmtId="10" fontId="11" fillId="3" borderId="6" xfId="19" applyNumberFormat="1" applyFont="1" applyFill="1" applyBorder="1" applyAlignment="1" applyProtection="1">
      <alignment vertical="center"/>
    </xf>
    <xf numFmtId="177" fontId="11" fillId="3" borderId="6" xfId="24" applyFont="1" applyFill="1" applyBorder="1" applyAlignment="1" applyProtection="1">
      <alignment horizontal="center" vertical="center"/>
    </xf>
    <xf numFmtId="177" fontId="11" fillId="3" borderId="6" xfId="24" applyFont="1" applyFill="1" applyBorder="1" applyAlignment="1" applyProtection="1">
      <alignment vertical="center"/>
    </xf>
    <xf numFmtId="2" fontId="11" fillId="3" borderId="6" xfId="0" applyNumberFormat="1" applyFont="1" applyFill="1" applyBorder="1" applyAlignment="1">
      <alignment horizontal="center" vertical="center"/>
    </xf>
    <xf numFmtId="0" fontId="13" fillId="2" borderId="0" xfId="0" applyFont="1" applyFill="1" applyAlignment="1" applyProtection="1">
      <alignment vertical="center"/>
      <protection locked="0"/>
    </xf>
    <xf numFmtId="0" fontId="15" fillId="2" borderId="0" xfId="0" applyFont="1" applyFill="1" applyAlignment="1">
      <alignment horizontal="center" vertical="center"/>
    </xf>
    <xf numFmtId="0" fontId="4" fillId="0" borderId="4" xfId="0" applyFont="1" applyBorder="1" applyAlignment="1">
      <alignment vertical="center"/>
    </xf>
    <xf numFmtId="4" fontId="4" fillId="0" borderId="4" xfId="0" applyNumberFormat="1" applyFont="1" applyBorder="1" applyAlignment="1">
      <alignment horizontal="center" vertical="center"/>
    </xf>
    <xf numFmtId="10" fontId="4" fillId="0" borderId="4" xfId="0" applyNumberFormat="1" applyFont="1" applyBorder="1" applyAlignment="1">
      <alignment horizontal="center" vertical="center"/>
    </xf>
    <xf numFmtId="169" fontId="4" fillId="0" borderId="14" xfId="19" applyNumberFormat="1" applyFont="1" applyFill="1" applyBorder="1" applyAlignment="1" applyProtection="1">
      <alignment horizontal="center" vertical="center"/>
    </xf>
    <xf numFmtId="0" fontId="4" fillId="0" borderId="6" xfId="0" applyFont="1" applyBorder="1" applyAlignment="1">
      <alignment vertical="center"/>
    </xf>
    <xf numFmtId="4" fontId="4" fillId="0" borderId="6" xfId="0" applyNumberFormat="1" applyFont="1" applyBorder="1" applyAlignment="1">
      <alignment horizontal="center" vertical="center"/>
    </xf>
    <xf numFmtId="10" fontId="4" fillId="0" borderId="6" xfId="0" applyNumberFormat="1" applyFont="1" applyBorder="1" applyAlignment="1">
      <alignment horizontal="center" vertical="center"/>
    </xf>
    <xf numFmtId="169" fontId="4" fillId="0" borderId="15" xfId="19" applyNumberFormat="1" applyFont="1" applyFill="1" applyBorder="1" applyAlignment="1" applyProtection="1">
      <alignment horizontal="center" vertical="center"/>
    </xf>
    <xf numFmtId="4" fontId="4" fillId="2" borderId="7" xfId="0" applyNumberFormat="1" applyFont="1" applyFill="1" applyBorder="1" applyAlignment="1">
      <alignment horizontal="center" vertical="center"/>
    </xf>
    <xf numFmtId="4" fontId="4" fillId="2" borderId="14" xfId="0" applyNumberFormat="1" applyFont="1" applyFill="1" applyBorder="1" applyAlignment="1">
      <alignment horizontal="center" vertical="center"/>
    </xf>
    <xf numFmtId="4" fontId="4" fillId="2" borderId="8" xfId="0" applyNumberFormat="1" applyFont="1" applyFill="1" applyBorder="1" applyAlignment="1">
      <alignment horizontal="center" vertical="center"/>
    </xf>
    <xf numFmtId="4" fontId="4" fillId="2" borderId="15" xfId="0" applyNumberFormat="1" applyFont="1" applyFill="1" applyBorder="1" applyAlignment="1">
      <alignment horizontal="center" vertical="center"/>
    </xf>
    <xf numFmtId="4" fontId="4" fillId="0" borderId="14" xfId="0" applyNumberFormat="1" applyFont="1" applyBorder="1" applyAlignment="1">
      <alignment horizontal="center" vertical="center"/>
    </xf>
    <xf numFmtId="10" fontId="4" fillId="0" borderId="14" xfId="0" applyNumberFormat="1" applyFont="1" applyBorder="1" applyAlignment="1">
      <alignment horizontal="center" vertical="center"/>
    </xf>
    <xf numFmtId="14" fontId="4" fillId="2" borderId="29" xfId="0" applyNumberFormat="1" applyFont="1" applyFill="1" applyBorder="1" applyAlignment="1">
      <alignment horizontal="center"/>
    </xf>
    <xf numFmtId="14" fontId="4" fillId="2" borderId="8" xfId="0" applyNumberFormat="1" applyFont="1" applyFill="1" applyBorder="1" applyAlignment="1">
      <alignment horizontal="center"/>
    </xf>
    <xf numFmtId="0" fontId="4" fillId="2" borderId="8" xfId="0" applyFont="1" applyFill="1" applyBorder="1" applyAlignment="1">
      <alignment horizontal="center"/>
    </xf>
    <xf numFmtId="14" fontId="4" fillId="2" borderId="22" xfId="0" applyNumberFormat="1" applyFont="1" applyFill="1" applyBorder="1" applyAlignment="1">
      <alignment horizontal="center"/>
    </xf>
    <xf numFmtId="0" fontId="12" fillId="3" borderId="9"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45" xfId="0" applyFont="1" applyFill="1" applyBorder="1" applyAlignment="1">
      <alignment horizontal="center" vertical="center"/>
    </xf>
    <xf numFmtId="0" fontId="13" fillId="0" borderId="30" xfId="0" applyFont="1" applyBorder="1" applyAlignment="1" applyProtection="1">
      <alignment horizontal="left" vertical="center"/>
      <protection locked="0"/>
    </xf>
    <xf numFmtId="0" fontId="13" fillId="0" borderId="31" xfId="0" applyFont="1" applyBorder="1" applyAlignment="1" applyProtection="1">
      <alignment horizontal="left" vertical="center"/>
      <protection locked="0"/>
    </xf>
    <xf numFmtId="0" fontId="13" fillId="0" borderId="39" xfId="0" applyFont="1" applyBorder="1" applyAlignment="1" applyProtection="1">
      <alignment horizontal="left" vertical="center"/>
      <protection locked="0"/>
    </xf>
    <xf numFmtId="0" fontId="62" fillId="3" borderId="40" xfId="0" applyFont="1" applyFill="1" applyBorder="1" applyAlignment="1">
      <alignment horizontal="left" vertical="center" wrapText="1"/>
    </xf>
    <xf numFmtId="0" fontId="62" fillId="3" borderId="43" xfId="0" applyFont="1" applyFill="1" applyBorder="1" applyAlignment="1">
      <alignment horizontal="left" vertical="center" wrapText="1"/>
    </xf>
    <xf numFmtId="0" fontId="13" fillId="0" borderId="26"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13" fillId="0" borderId="41" xfId="0" applyFont="1" applyBorder="1" applyAlignment="1" applyProtection="1">
      <alignment horizontal="left" vertical="center"/>
      <protection locked="0"/>
    </xf>
    <xf numFmtId="0" fontId="62" fillId="3" borderId="35" xfId="0" applyFont="1" applyFill="1" applyBorder="1" applyAlignment="1">
      <alignment horizontal="left" vertical="center" wrapText="1"/>
    </xf>
    <xf numFmtId="0" fontId="62" fillId="3" borderId="36" xfId="0" applyFont="1" applyFill="1" applyBorder="1" applyAlignment="1">
      <alignment horizontal="left" vertical="center" wrapText="1"/>
    </xf>
    <xf numFmtId="0" fontId="13" fillId="0" borderId="26" xfId="0" applyFont="1" applyBorder="1" applyAlignment="1">
      <alignment horizontal="left" vertical="center"/>
    </xf>
    <xf numFmtId="0" fontId="13" fillId="0" borderId="32" xfId="0" applyFont="1" applyBorder="1" applyAlignment="1">
      <alignment horizontal="left" vertical="center"/>
    </xf>
    <xf numFmtId="0" fontId="13" fillId="0" borderId="41" xfId="0" applyFont="1" applyBorder="1" applyAlignment="1">
      <alignment horizontal="left" vertical="center"/>
    </xf>
    <xf numFmtId="0" fontId="63" fillId="0" borderId="27" xfId="18" applyFont="1" applyFill="1" applyBorder="1" applyAlignment="1" applyProtection="1">
      <alignment horizontal="left" vertical="center"/>
      <protection locked="0"/>
    </xf>
    <xf numFmtId="0" fontId="63" fillId="0" borderId="33" xfId="18" applyFont="1" applyFill="1" applyBorder="1" applyAlignment="1" applyProtection="1">
      <alignment horizontal="left" vertical="center"/>
      <protection locked="0"/>
    </xf>
    <xf numFmtId="0" fontId="63" fillId="0" borderId="42" xfId="18" applyFont="1" applyFill="1" applyBorder="1" applyAlignment="1" applyProtection="1">
      <alignment horizontal="left" vertical="center"/>
      <protection locked="0"/>
    </xf>
    <xf numFmtId="0" fontId="62" fillId="3" borderId="37" xfId="0" applyFont="1" applyFill="1" applyBorder="1" applyAlignment="1">
      <alignment horizontal="left" vertical="center" wrapText="1"/>
    </xf>
    <xf numFmtId="0" fontId="62" fillId="3" borderId="38" xfId="0" applyFont="1" applyFill="1" applyBorder="1" applyAlignment="1">
      <alignment horizontal="left" vertical="center" wrapText="1"/>
    </xf>
    <xf numFmtId="0" fontId="13" fillId="0" borderId="27" xfId="0" applyFont="1" applyBorder="1" applyAlignment="1" applyProtection="1">
      <alignment horizontal="left" vertical="center"/>
      <protection locked="0"/>
    </xf>
    <xf numFmtId="0" fontId="13" fillId="0" borderId="33" xfId="0" applyFont="1" applyBorder="1" applyAlignment="1" applyProtection="1">
      <alignment horizontal="left" vertical="center"/>
      <protection locked="0"/>
    </xf>
    <xf numFmtId="0" fontId="13" fillId="0" borderId="42" xfId="0" applyFont="1" applyBorder="1" applyAlignment="1" applyProtection="1">
      <alignment horizontal="left" vertical="center"/>
      <protection locked="0"/>
    </xf>
    <xf numFmtId="0" fontId="64" fillId="3" borderId="40" xfId="0" applyFont="1" applyFill="1" applyBorder="1" applyAlignment="1">
      <alignment horizontal="left" vertical="center"/>
    </xf>
    <xf numFmtId="0" fontId="64" fillId="3" borderId="31" xfId="0" applyFont="1" applyFill="1" applyBorder="1" applyAlignment="1">
      <alignment horizontal="left" vertical="center"/>
    </xf>
    <xf numFmtId="0" fontId="64" fillId="3" borderId="39" xfId="0" applyFont="1" applyFill="1" applyBorder="1" applyAlignment="1">
      <alignment horizontal="left" vertical="center"/>
    </xf>
    <xf numFmtId="0" fontId="65" fillId="3" borderId="35" xfId="0" applyFont="1" applyFill="1" applyBorder="1" applyAlignment="1">
      <alignment horizontal="left" vertical="center"/>
    </xf>
    <xf numFmtId="0" fontId="65" fillId="3" borderId="32" xfId="0" applyFont="1" applyFill="1" applyBorder="1" applyAlignment="1">
      <alignment horizontal="left" vertical="center"/>
    </xf>
    <xf numFmtId="0" fontId="65" fillId="3" borderId="41" xfId="0" applyFont="1" applyFill="1" applyBorder="1" applyAlignment="1">
      <alignment horizontal="left" vertical="center"/>
    </xf>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4" fontId="12" fillId="3" borderId="6" xfId="0" applyNumberFormat="1" applyFont="1" applyFill="1" applyBorder="1" applyAlignment="1">
      <alignment horizontal="center" vertical="center" wrapText="1"/>
    </xf>
    <xf numFmtId="4" fontId="12" fillId="3" borderId="15" xfId="0" applyNumberFormat="1" applyFont="1" applyFill="1" applyBorder="1" applyAlignment="1">
      <alignment horizontal="center" vertical="center" wrapText="1"/>
    </xf>
    <xf numFmtId="0" fontId="12" fillId="3" borderId="46"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center" vertical="center"/>
    </xf>
    <xf numFmtId="0" fontId="9" fillId="0" borderId="0" xfId="0" applyFont="1" applyAlignment="1">
      <alignment horizontal="center" vertical="center" wrapText="1"/>
    </xf>
    <xf numFmtId="0" fontId="19" fillId="0" borderId="49"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45" xfId="0" applyFont="1" applyBorder="1" applyAlignment="1">
      <alignment horizontal="center" vertical="center" wrapText="1"/>
    </xf>
    <xf numFmtId="0" fontId="24" fillId="0" borderId="0" xfId="0" applyFont="1" applyAlignment="1">
      <alignment horizontal="center"/>
    </xf>
    <xf numFmtId="0" fontId="56" fillId="5" borderId="47" xfId="0" applyFont="1" applyFill="1" applyBorder="1" applyAlignment="1">
      <alignment horizontal="left" vertical="center"/>
    </xf>
    <xf numFmtId="0" fontId="56" fillId="5" borderId="7" xfId="0" applyFont="1" applyFill="1" applyBorder="1" applyAlignment="1">
      <alignment horizontal="left" vertical="center"/>
    </xf>
    <xf numFmtId="0" fontId="56" fillId="5" borderId="47" xfId="0" applyFont="1" applyFill="1" applyBorder="1" applyAlignment="1">
      <alignment horizontal="left" vertical="center" wrapText="1"/>
    </xf>
    <xf numFmtId="0" fontId="56" fillId="5" borderId="7" xfId="0" applyFont="1" applyFill="1" applyBorder="1" applyAlignment="1">
      <alignment horizontal="left" vertical="center" wrapText="1"/>
    </xf>
    <xf numFmtId="0" fontId="56" fillId="5" borderId="5" xfId="0" applyFont="1" applyFill="1" applyBorder="1" applyAlignment="1">
      <alignment horizontal="left" vertical="center" wrapText="1"/>
    </xf>
    <xf numFmtId="0" fontId="9" fillId="0" borderId="0" xfId="0" applyFont="1" applyAlignment="1">
      <alignment horizontal="center" vertical="center"/>
    </xf>
    <xf numFmtId="0" fontId="50" fillId="3" borderId="16" xfId="0" applyFont="1" applyFill="1" applyBorder="1" applyAlignment="1">
      <alignment horizontal="center" vertical="center" wrapText="1"/>
    </xf>
    <xf numFmtId="0" fontId="50" fillId="3" borderId="17" xfId="0" applyFont="1" applyFill="1" applyBorder="1" applyAlignment="1">
      <alignment horizontal="center" vertical="center" wrapText="1"/>
    </xf>
    <xf numFmtId="0" fontId="50" fillId="3" borderId="18" xfId="0" applyFont="1" applyFill="1" applyBorder="1" applyAlignment="1">
      <alignment horizontal="center" vertical="center" wrapText="1"/>
    </xf>
    <xf numFmtId="0" fontId="50" fillId="3" borderId="20" xfId="0" applyFont="1" applyFill="1" applyBorder="1" applyAlignment="1">
      <alignment horizontal="center" vertical="center" wrapText="1"/>
    </xf>
    <xf numFmtId="0" fontId="50" fillId="3" borderId="21" xfId="0" applyFont="1" applyFill="1" applyBorder="1" applyAlignment="1">
      <alignment horizontal="center" vertical="center" wrapText="1"/>
    </xf>
    <xf numFmtId="0" fontId="50" fillId="3" borderId="25" xfId="0" applyFont="1" applyFill="1" applyBorder="1" applyAlignment="1">
      <alignment horizontal="center" vertical="center" wrapText="1"/>
    </xf>
    <xf numFmtId="0" fontId="51" fillId="6" borderId="9" xfId="0" applyFont="1" applyFill="1" applyBorder="1" applyAlignment="1">
      <alignment horizontal="center" vertical="center" wrapText="1"/>
    </xf>
    <xf numFmtId="0" fontId="51" fillId="6" borderId="10" xfId="0" applyFont="1" applyFill="1" applyBorder="1" applyAlignment="1">
      <alignment horizontal="center" vertical="center" wrapText="1"/>
    </xf>
    <xf numFmtId="0" fontId="51" fillId="6" borderId="45" xfId="0" applyFont="1" applyFill="1" applyBorder="1" applyAlignment="1">
      <alignment horizontal="center" vertical="center" wrapText="1"/>
    </xf>
    <xf numFmtId="0" fontId="13" fillId="2" borderId="17" xfId="0" applyFont="1" applyFill="1" applyBorder="1" applyAlignment="1">
      <alignment horizontal="justify" vertical="center" wrapText="1"/>
    </xf>
    <xf numFmtId="0" fontId="51" fillId="3" borderId="3" xfId="0" applyFont="1" applyFill="1" applyBorder="1" applyAlignment="1">
      <alignment horizontal="center" vertical="center" wrapText="1"/>
    </xf>
    <xf numFmtId="0" fontId="51" fillId="3" borderId="51" xfId="0" applyFont="1" applyFill="1" applyBorder="1" applyAlignment="1">
      <alignment horizontal="center" vertical="center" wrapText="1"/>
    </xf>
    <xf numFmtId="0" fontId="51" fillId="3" borderId="53" xfId="0" applyFont="1" applyFill="1" applyBorder="1" applyAlignment="1">
      <alignment horizontal="center" vertical="center" wrapText="1"/>
    </xf>
    <xf numFmtId="0" fontId="12" fillId="6" borderId="29" xfId="18" applyFont="1" applyFill="1" applyBorder="1" applyAlignment="1" applyProtection="1">
      <alignment horizontal="center" vertical="center" wrapText="1"/>
    </xf>
    <xf numFmtId="0" fontId="12" fillId="6" borderId="34" xfId="18" applyFont="1" applyFill="1" applyBorder="1" applyAlignment="1" applyProtection="1">
      <alignment horizontal="center" vertical="center" wrapText="1"/>
    </xf>
    <xf numFmtId="0" fontId="12" fillId="6" borderId="44" xfId="18" applyFont="1" applyFill="1" applyBorder="1" applyAlignment="1" applyProtection="1">
      <alignment horizontal="center" vertical="center" wrapText="1"/>
    </xf>
    <xf numFmtId="0" fontId="12" fillId="6" borderId="22" xfId="18" applyFont="1" applyFill="1" applyBorder="1" applyAlignment="1" applyProtection="1">
      <alignment horizontal="center" vertical="center" wrapText="1"/>
    </xf>
    <xf numFmtId="0" fontId="12" fillId="6" borderId="23" xfId="18" applyFont="1" applyFill="1" applyBorder="1" applyAlignment="1" applyProtection="1">
      <alignment horizontal="center" vertical="center" wrapText="1"/>
    </xf>
    <xf numFmtId="0" fontId="51" fillId="3" borderId="23" xfId="0" applyFont="1" applyFill="1" applyBorder="1" applyAlignment="1">
      <alignment horizontal="center" vertical="center" wrapText="1"/>
    </xf>
    <xf numFmtId="0" fontId="51" fillId="2" borderId="23" xfId="0" applyFont="1" applyFill="1" applyBorder="1" applyAlignment="1">
      <alignment horizontal="left" vertical="center" wrapText="1"/>
    </xf>
    <xf numFmtId="0" fontId="51" fillId="2" borderId="28" xfId="0" applyFont="1" applyFill="1" applyBorder="1" applyAlignment="1">
      <alignment horizontal="left" vertical="center" wrapText="1"/>
    </xf>
    <xf numFmtId="0" fontId="52" fillId="6" borderId="8" xfId="18" applyFont="1" applyFill="1" applyBorder="1" applyAlignment="1" applyProtection="1">
      <alignment horizontal="center" vertical="center" wrapText="1"/>
    </xf>
    <xf numFmtId="0" fontId="52" fillId="6" borderId="6" xfId="18" applyFont="1" applyFill="1" applyBorder="1" applyAlignment="1" applyProtection="1">
      <alignment horizontal="center" vertical="center" wrapText="1"/>
    </xf>
    <xf numFmtId="0" fontId="51" fillId="3" borderId="6" xfId="0" applyFont="1" applyFill="1" applyBorder="1" applyAlignment="1">
      <alignment horizontal="center" vertical="center" wrapText="1"/>
    </xf>
    <xf numFmtId="0" fontId="51" fillId="2" borderId="6" xfId="0" applyFont="1" applyFill="1" applyBorder="1" applyAlignment="1">
      <alignment horizontal="left" vertical="center" wrapText="1"/>
    </xf>
    <xf numFmtId="0" fontId="51" fillId="2" borderId="15" xfId="0" applyFont="1" applyFill="1" applyBorder="1" applyAlignment="1">
      <alignment horizontal="left" vertical="center" wrapText="1"/>
    </xf>
    <xf numFmtId="0" fontId="51" fillId="2" borderId="26" xfId="0" applyFont="1" applyFill="1" applyBorder="1" applyAlignment="1">
      <alignment horizontal="left" vertical="center" wrapText="1"/>
    </xf>
    <xf numFmtId="0" fontId="51" fillId="2" borderId="32" xfId="0" applyFont="1" applyFill="1" applyBorder="1" applyAlignment="1">
      <alignment horizontal="left" vertical="center" wrapText="1"/>
    </xf>
    <xf numFmtId="0" fontId="51" fillId="2" borderId="41" xfId="0" applyFont="1" applyFill="1" applyBorder="1" applyAlignment="1">
      <alignment horizontal="left" vertical="center" wrapText="1"/>
    </xf>
    <xf numFmtId="0" fontId="52" fillId="6" borderId="22" xfId="18" applyFont="1" applyFill="1" applyBorder="1" applyAlignment="1" applyProtection="1">
      <alignment horizontal="center" vertical="center" wrapText="1"/>
    </xf>
    <xf numFmtId="0" fontId="52" fillId="6" borderId="23" xfId="18" applyFont="1" applyFill="1" applyBorder="1" applyAlignment="1" applyProtection="1">
      <alignment horizontal="center" vertical="center" wrapText="1"/>
    </xf>
    <xf numFmtId="0" fontId="51" fillId="2" borderId="27" xfId="0" applyFont="1" applyFill="1" applyBorder="1" applyAlignment="1">
      <alignment horizontal="left" vertical="center" wrapText="1"/>
    </xf>
    <xf numFmtId="0" fontId="51" fillId="2" borderId="33" xfId="0" applyFont="1" applyFill="1" applyBorder="1" applyAlignment="1">
      <alignment horizontal="left" vertical="center" wrapText="1"/>
    </xf>
    <xf numFmtId="0" fontId="51" fillId="2" borderId="42" xfId="0" applyFont="1" applyFill="1" applyBorder="1" applyAlignment="1">
      <alignment horizontal="left" vertical="center" wrapText="1"/>
    </xf>
    <xf numFmtId="0" fontId="52" fillId="0" borderId="2" xfId="0" applyFont="1" applyBorder="1" applyAlignment="1">
      <alignment horizontal="center" vertical="center" wrapText="1"/>
    </xf>
    <xf numFmtId="0" fontId="51" fillId="0" borderId="51"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2" xfId="0" applyFont="1" applyBorder="1" applyAlignment="1">
      <alignment horizontal="center" vertical="center" wrapText="1"/>
    </xf>
    <xf numFmtId="0" fontId="56" fillId="6" borderId="9" xfId="0" applyFont="1" applyFill="1" applyBorder="1" applyAlignment="1">
      <alignment horizontal="center" vertical="center" wrapText="1"/>
    </xf>
    <xf numFmtId="0" fontId="56" fillId="6" borderId="10" xfId="0" applyFont="1" applyFill="1" applyBorder="1" applyAlignment="1">
      <alignment horizontal="center" vertical="center" wrapText="1"/>
    </xf>
    <xf numFmtId="0" fontId="56" fillId="6" borderId="45" xfId="0" applyFont="1" applyFill="1" applyBorder="1" applyAlignment="1">
      <alignment horizontal="center" vertical="center" wrapText="1"/>
    </xf>
    <xf numFmtId="0" fontId="52" fillId="6" borderId="35" xfId="18" applyFont="1" applyFill="1" applyBorder="1" applyAlignment="1" applyProtection="1">
      <alignment horizontal="center" vertical="center" wrapText="1"/>
    </xf>
    <xf numFmtId="0" fontId="52" fillId="6" borderId="36" xfId="18" applyFont="1" applyFill="1" applyBorder="1" applyAlignment="1" applyProtection="1">
      <alignment horizontal="center" vertical="center" wrapText="1"/>
    </xf>
    <xf numFmtId="0" fontId="12" fillId="6" borderId="3" xfId="18" applyFont="1" applyFill="1" applyBorder="1" applyAlignment="1" applyProtection="1">
      <alignment horizontal="center" vertical="center" wrapText="1"/>
    </xf>
    <xf numFmtId="0" fontId="12" fillId="6" borderId="51" xfId="18" applyFont="1" applyFill="1" applyBorder="1" applyAlignment="1" applyProtection="1">
      <alignment horizontal="center" vertical="center" wrapText="1"/>
    </xf>
    <xf numFmtId="0" fontId="12" fillId="6" borderId="53" xfId="18" applyFont="1" applyFill="1" applyBorder="1" applyAlignment="1" applyProtection="1">
      <alignment horizontal="center" vertical="center" wrapText="1"/>
    </xf>
    <xf numFmtId="0" fontId="52" fillId="6" borderId="40" xfId="18" applyFont="1" applyFill="1" applyBorder="1" applyAlignment="1" applyProtection="1">
      <alignment horizontal="center" vertical="center" wrapText="1"/>
    </xf>
    <xf numFmtId="0" fontId="52" fillId="6" borderId="43" xfId="18" applyFont="1" applyFill="1" applyBorder="1" applyAlignment="1" applyProtection="1">
      <alignment horizontal="center" vertical="center" wrapText="1"/>
    </xf>
    <xf numFmtId="0" fontId="51" fillId="3" borderId="34" xfId="0" applyFont="1" applyFill="1" applyBorder="1" applyAlignment="1">
      <alignment horizontal="center" vertical="center" wrapText="1"/>
    </xf>
    <xf numFmtId="0" fontId="51" fillId="2" borderId="34" xfId="0" applyFont="1" applyFill="1" applyBorder="1" applyAlignment="1">
      <alignment horizontal="left" vertical="center" wrapText="1"/>
    </xf>
    <xf numFmtId="0" fontId="51" fillId="2" borderId="44" xfId="0" applyFont="1" applyFill="1" applyBorder="1" applyAlignment="1">
      <alignment horizontal="left" vertical="center" wrapText="1"/>
    </xf>
    <xf numFmtId="0" fontId="32" fillId="2" borderId="0" xfId="0" applyFont="1" applyFill="1" applyAlignment="1">
      <alignment horizontal="justify" vertical="center" wrapText="1"/>
    </xf>
    <xf numFmtId="0" fontId="51" fillId="0" borderId="3"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23" xfId="0" applyFont="1" applyBorder="1" applyAlignment="1">
      <alignment horizontal="center" vertical="center" wrapText="1"/>
    </xf>
    <xf numFmtId="0" fontId="13" fillId="0" borderId="30" xfId="0" applyFont="1" applyBorder="1" applyAlignment="1">
      <alignment horizontal="left" vertical="center"/>
    </xf>
    <xf numFmtId="0" fontId="13" fillId="0" borderId="31" xfId="0" applyFont="1" applyBorder="1" applyAlignment="1">
      <alignment horizontal="left" vertical="center"/>
    </xf>
    <xf numFmtId="0" fontId="13" fillId="0" borderId="39" xfId="0" applyFont="1" applyBorder="1" applyAlignment="1">
      <alignment horizontal="left" vertical="center"/>
    </xf>
    <xf numFmtId="0" fontId="72" fillId="3" borderId="40" xfId="0" applyFont="1" applyFill="1" applyBorder="1" applyAlignment="1">
      <alignment horizontal="left" vertical="center" wrapText="1"/>
    </xf>
    <xf numFmtId="0" fontId="72" fillId="3" borderId="43" xfId="0" applyFont="1" applyFill="1" applyBorder="1" applyAlignment="1">
      <alignment horizontal="left" vertical="center" wrapText="1"/>
    </xf>
    <xf numFmtId="0" fontId="72" fillId="3" borderId="35" xfId="0" applyFont="1" applyFill="1" applyBorder="1" applyAlignment="1">
      <alignment horizontal="left" vertical="center" wrapText="1"/>
    </xf>
    <xf numFmtId="0" fontId="72" fillId="3" borderId="36" xfId="0" applyFont="1" applyFill="1" applyBorder="1" applyAlignment="1">
      <alignment horizontal="left" vertical="center" wrapText="1"/>
    </xf>
    <xf numFmtId="0" fontId="13" fillId="0" borderId="27" xfId="0" applyFont="1" applyBorder="1" applyAlignment="1">
      <alignment horizontal="left" vertical="center"/>
    </xf>
    <xf numFmtId="0" fontId="13" fillId="0" borderId="33" xfId="0" applyFont="1" applyBorder="1" applyAlignment="1">
      <alignment horizontal="left" vertical="center"/>
    </xf>
    <xf numFmtId="0" fontId="13" fillId="0" borderId="42" xfId="0" applyFont="1" applyBorder="1" applyAlignment="1">
      <alignment horizontal="left" vertical="center"/>
    </xf>
    <xf numFmtId="0" fontId="72" fillId="3" borderId="37" xfId="0" applyFont="1" applyFill="1" applyBorder="1" applyAlignment="1">
      <alignment horizontal="left" vertical="center" wrapText="1"/>
    </xf>
    <xf numFmtId="0" fontId="72" fillId="3" borderId="38" xfId="0" applyFont="1" applyFill="1" applyBorder="1" applyAlignment="1">
      <alignment horizontal="left" vertical="center" wrapText="1"/>
    </xf>
    <xf numFmtId="0" fontId="64" fillId="3" borderId="29" xfId="0" applyFont="1" applyFill="1" applyBorder="1" applyAlignment="1">
      <alignment horizontal="left" vertical="center"/>
    </xf>
    <xf numFmtId="0" fontId="64" fillId="3" borderId="34" xfId="0" applyFont="1" applyFill="1" applyBorder="1" applyAlignment="1">
      <alignment horizontal="left" vertical="center"/>
    </xf>
    <xf numFmtId="0" fontId="64" fillId="3" borderId="44" xfId="0" applyFont="1" applyFill="1" applyBorder="1" applyAlignment="1">
      <alignment horizontal="left" vertical="center"/>
    </xf>
    <xf numFmtId="0" fontId="65" fillId="3" borderId="8" xfId="0" applyFont="1" applyFill="1" applyBorder="1" applyAlignment="1">
      <alignment horizontal="center" vertical="center"/>
    </xf>
    <xf numFmtId="0" fontId="65" fillId="3" borderId="6" xfId="0" applyFont="1" applyFill="1" applyBorder="1" applyAlignment="1">
      <alignment horizontal="center" vertical="center"/>
    </xf>
    <xf numFmtId="0" fontId="65" fillId="3" borderId="15" xfId="0" applyFont="1" applyFill="1" applyBorder="1" applyAlignment="1">
      <alignment horizontal="center" vertical="center"/>
    </xf>
    <xf numFmtId="0" fontId="73" fillId="3" borderId="35" xfId="0" applyFont="1" applyFill="1" applyBorder="1" applyAlignment="1">
      <alignment horizontal="center" vertical="center" wrapText="1"/>
    </xf>
    <xf numFmtId="0" fontId="73" fillId="3" borderId="36" xfId="0" applyFont="1" applyFill="1" applyBorder="1" applyAlignment="1">
      <alignment horizontal="center" vertical="center" wrapText="1"/>
    </xf>
    <xf numFmtId="0" fontId="73" fillId="3" borderId="6" xfId="0" applyFont="1" applyFill="1" applyBorder="1" applyAlignment="1">
      <alignment horizontal="center" vertical="center" wrapText="1"/>
    </xf>
    <xf numFmtId="0" fontId="73" fillId="3" borderId="15" xfId="0" applyFont="1" applyFill="1" applyBorder="1" applyAlignment="1">
      <alignment horizontal="center" vertical="center" wrapText="1"/>
    </xf>
    <xf numFmtId="4" fontId="56" fillId="2" borderId="35" xfId="0" applyNumberFormat="1" applyFont="1" applyFill="1" applyBorder="1" applyAlignment="1" applyProtection="1">
      <alignment horizontal="center" vertical="center" wrapText="1"/>
      <protection locked="0"/>
    </xf>
    <xf numFmtId="4" fontId="56" fillId="2" borderId="36" xfId="0" applyNumberFormat="1" applyFont="1" applyFill="1" applyBorder="1" applyAlignment="1" applyProtection="1">
      <alignment horizontal="center" vertical="center" wrapText="1"/>
      <protection locked="0"/>
    </xf>
    <xf numFmtId="3" fontId="56" fillId="2" borderId="6" xfId="0" applyNumberFormat="1" applyFont="1" applyFill="1" applyBorder="1" applyAlignment="1" applyProtection="1">
      <alignment horizontal="center" vertical="center" wrapText="1"/>
      <protection locked="0"/>
    </xf>
    <xf numFmtId="0" fontId="56" fillId="2" borderId="6" xfId="0" applyFont="1" applyFill="1" applyBorder="1" applyAlignment="1" applyProtection="1">
      <alignment horizontal="center" vertical="center"/>
      <protection locked="0"/>
    </xf>
    <xf numFmtId="4" fontId="56" fillId="2" borderId="26" xfId="0" applyNumberFormat="1" applyFont="1" applyFill="1" applyBorder="1" applyAlignment="1" applyProtection="1">
      <alignment horizontal="center" vertical="center" wrapText="1"/>
      <protection locked="0"/>
    </xf>
    <xf numFmtId="4" fontId="56" fillId="2" borderId="32" xfId="0" applyNumberFormat="1" applyFont="1" applyFill="1" applyBorder="1" applyAlignment="1" applyProtection="1">
      <alignment horizontal="center" vertical="center" wrapText="1"/>
      <protection locked="0"/>
    </xf>
    <xf numFmtId="4" fontId="56" fillId="2" borderId="41" xfId="0" applyNumberFormat="1"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protection locked="0"/>
    </xf>
    <xf numFmtId="4" fontId="56" fillId="2" borderId="6" xfId="0" applyNumberFormat="1" applyFont="1" applyFill="1" applyBorder="1" applyAlignment="1" applyProtection="1">
      <alignment horizontal="center" vertical="center" wrapText="1"/>
      <protection locked="0"/>
    </xf>
    <xf numFmtId="4" fontId="56" fillId="2" borderId="15" xfId="0" applyNumberFormat="1" applyFont="1" applyFill="1" applyBorder="1" applyAlignment="1" applyProtection="1">
      <alignment horizontal="center" vertical="center" wrapText="1"/>
      <protection locked="0"/>
    </xf>
    <xf numFmtId="4" fontId="56" fillId="2" borderId="37" xfId="0" applyNumberFormat="1" applyFont="1" applyFill="1" applyBorder="1" applyAlignment="1" applyProtection="1">
      <alignment horizontal="center" vertical="center" wrapText="1"/>
      <protection locked="0"/>
    </xf>
    <xf numFmtId="4" fontId="56" fillId="2" borderId="38" xfId="0" applyNumberFormat="1" applyFont="1" applyFill="1" applyBorder="1" applyAlignment="1" applyProtection="1">
      <alignment horizontal="center" vertical="center" wrapText="1"/>
      <protection locked="0"/>
    </xf>
    <xf numFmtId="3" fontId="56" fillId="2" borderId="23" xfId="0" applyNumberFormat="1" applyFont="1" applyFill="1" applyBorder="1" applyAlignment="1" applyProtection="1">
      <alignment horizontal="center" vertical="center" wrapText="1"/>
      <protection locked="0"/>
    </xf>
    <xf numFmtId="0" fontId="56" fillId="2" borderId="23" xfId="0" applyFont="1" applyFill="1" applyBorder="1" applyAlignment="1" applyProtection="1">
      <alignment horizontal="center" vertical="center"/>
      <protection locked="0"/>
    </xf>
    <xf numFmtId="4" fontId="56" fillId="2" borderId="23" xfId="0" applyNumberFormat="1" applyFont="1" applyFill="1" applyBorder="1" applyAlignment="1" applyProtection="1">
      <alignment horizontal="center" vertical="center" wrapText="1"/>
      <protection locked="0"/>
    </xf>
    <xf numFmtId="4" fontId="56" fillId="2" borderId="28" xfId="0" applyNumberFormat="1" applyFont="1" applyFill="1" applyBorder="1" applyAlignment="1" applyProtection="1">
      <alignment horizontal="center" vertical="center" wrapText="1"/>
      <protection locked="0"/>
    </xf>
    <xf numFmtId="0" fontId="73" fillId="3" borderId="8" xfId="0" applyFont="1" applyFill="1" applyBorder="1" applyAlignment="1">
      <alignment horizontal="center" vertical="center" wrapText="1"/>
    </xf>
    <xf numFmtId="0" fontId="73" fillId="3" borderId="32" xfId="0" applyFont="1" applyFill="1" applyBorder="1" applyAlignment="1">
      <alignment horizontal="center" vertical="center" wrapText="1"/>
    </xf>
    <xf numFmtId="0" fontId="73" fillId="3" borderId="26" xfId="0" applyFont="1" applyFill="1" applyBorder="1" applyAlignment="1">
      <alignment horizontal="center" vertical="center" wrapText="1"/>
    </xf>
    <xf numFmtId="4" fontId="56" fillId="2" borderId="33" xfId="0" applyNumberFormat="1" applyFont="1" applyFill="1" applyBorder="1" applyAlignment="1" applyProtection="1">
      <alignment horizontal="center" vertical="center" wrapText="1"/>
      <protection locked="0"/>
    </xf>
    <xf numFmtId="14" fontId="56" fillId="2" borderId="27" xfId="0" applyNumberFormat="1" applyFont="1" applyFill="1" applyBorder="1" applyAlignment="1" applyProtection="1">
      <alignment horizontal="center" vertical="center" wrapText="1"/>
      <protection locked="0"/>
    </xf>
    <xf numFmtId="14" fontId="56" fillId="2" borderId="33" xfId="0" applyNumberFormat="1" applyFont="1" applyFill="1" applyBorder="1" applyAlignment="1" applyProtection="1">
      <alignment horizontal="center" vertical="center" wrapText="1"/>
      <protection locked="0"/>
    </xf>
    <xf numFmtId="14" fontId="56" fillId="2" borderId="38" xfId="0" applyNumberFormat="1" applyFont="1" applyFill="1" applyBorder="1" applyAlignment="1" applyProtection="1">
      <alignment horizontal="center" vertical="center" wrapText="1"/>
      <protection locked="0"/>
    </xf>
    <xf numFmtId="0" fontId="74" fillId="2" borderId="27" xfId="0" applyFont="1" applyFill="1" applyBorder="1" applyAlignment="1" applyProtection="1">
      <alignment horizontal="center" vertical="center" wrapText="1"/>
      <protection locked="0"/>
    </xf>
    <xf numFmtId="0" fontId="74" fillId="2" borderId="38" xfId="0" applyFont="1" applyFill="1" applyBorder="1" applyAlignment="1" applyProtection="1">
      <alignment horizontal="center" vertical="center" wrapText="1"/>
      <protection locked="0"/>
    </xf>
    <xf numFmtId="0" fontId="64" fillId="3" borderId="22" xfId="0" applyFont="1" applyFill="1" applyBorder="1" applyAlignment="1">
      <alignment horizontal="left" vertical="center"/>
    </xf>
    <xf numFmtId="0" fontId="64" fillId="3" borderId="23" xfId="0" applyFont="1" applyFill="1" applyBorder="1" applyAlignment="1">
      <alignment horizontal="left" vertic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3" borderId="25" xfId="0" applyFont="1" applyFill="1" applyBorder="1" applyAlignment="1">
      <alignment horizontal="center" vertical="center" wrapText="1"/>
    </xf>
    <xf numFmtId="4" fontId="56" fillId="2" borderId="8" xfId="0" applyNumberFormat="1" applyFont="1" applyFill="1" applyBorder="1" applyAlignment="1" applyProtection="1">
      <alignment horizontal="center" vertical="center" wrapText="1"/>
      <protection locked="0"/>
    </xf>
    <xf numFmtId="0" fontId="4" fillId="2" borderId="23" xfId="0" applyFont="1" applyFill="1" applyBorder="1" applyAlignment="1">
      <alignment horizontal="left"/>
    </xf>
    <xf numFmtId="0" fontId="4" fillId="2" borderId="28" xfId="0" applyFont="1" applyFill="1" applyBorder="1" applyAlignment="1">
      <alignment horizontal="left"/>
    </xf>
    <xf numFmtId="0" fontId="59" fillId="3" borderId="3" xfId="0" applyFont="1" applyFill="1" applyBorder="1" applyAlignment="1">
      <alignment horizontal="center" vertical="center"/>
    </xf>
    <xf numFmtId="0" fontId="59" fillId="3" borderId="5" xfId="0" applyFont="1" applyFill="1" applyBorder="1" applyAlignment="1">
      <alignment horizontal="center" vertical="center"/>
    </xf>
    <xf numFmtId="0" fontId="59" fillId="3" borderId="7" xfId="0" applyFont="1" applyFill="1" applyBorder="1" applyAlignment="1">
      <alignment horizontal="center" vertical="center"/>
    </xf>
    <xf numFmtId="0" fontId="59" fillId="3" borderId="8" xfId="0" applyFont="1" applyFill="1" applyBorder="1" applyAlignment="1">
      <alignment horizontal="center" vertical="center"/>
    </xf>
    <xf numFmtId="0" fontId="73" fillId="3" borderId="19" xfId="0" applyFont="1" applyFill="1" applyBorder="1" applyAlignment="1">
      <alignment horizontal="left" vertical="center" wrapText="1"/>
    </xf>
    <xf numFmtId="0" fontId="73" fillId="3" borderId="0" xfId="0" applyFont="1" applyFill="1" applyAlignment="1">
      <alignment horizontal="left" vertical="center" wrapText="1"/>
    </xf>
    <xf numFmtId="0" fontId="65" fillId="3" borderId="1" xfId="0" applyFont="1" applyFill="1" applyBorder="1" applyAlignment="1">
      <alignment horizontal="center" vertical="center"/>
    </xf>
    <xf numFmtId="0" fontId="65" fillId="3" borderId="2" xfId="0" applyFont="1" applyFill="1" applyBorder="1" applyAlignment="1">
      <alignment horizontal="center" vertical="center"/>
    </xf>
    <xf numFmtId="0" fontId="65" fillId="3" borderId="9" xfId="0" applyFont="1" applyFill="1" applyBorder="1" applyAlignment="1">
      <alignment horizontal="center" vertical="center"/>
    </xf>
    <xf numFmtId="0" fontId="65" fillId="3" borderId="10" xfId="0" applyFont="1" applyFill="1" applyBorder="1" applyAlignment="1">
      <alignment horizontal="center" vertical="center"/>
    </xf>
    <xf numFmtId="0" fontId="65" fillId="3" borderId="12" xfId="0" applyFont="1" applyFill="1" applyBorder="1" applyAlignment="1">
      <alignment horizontal="center" vertical="center"/>
    </xf>
    <xf numFmtId="0" fontId="59" fillId="2" borderId="51" xfId="0" applyFont="1" applyFill="1" applyBorder="1" applyAlignment="1">
      <alignment horizontal="center" vertical="center"/>
    </xf>
    <xf numFmtId="0" fontId="59" fillId="2" borderId="54" xfId="0" applyFont="1" applyFill="1" applyBorder="1" applyAlignment="1">
      <alignment horizontal="center" vertical="center"/>
    </xf>
    <xf numFmtId="0" fontId="59" fillId="2" borderId="53" xfId="0" applyFont="1" applyFill="1" applyBorder="1" applyAlignment="1">
      <alignment horizontal="center" vertical="center"/>
    </xf>
    <xf numFmtId="0" fontId="4" fillId="2" borderId="6" xfId="0" applyFont="1" applyFill="1" applyBorder="1" applyAlignment="1">
      <alignment horizontal="left"/>
    </xf>
    <xf numFmtId="0" fontId="4" fillId="2" borderId="15" xfId="0" applyFont="1" applyFill="1" applyBorder="1" applyAlignment="1">
      <alignment horizontal="left"/>
    </xf>
    <xf numFmtId="0" fontId="4" fillId="2" borderId="34" xfId="0" applyFont="1" applyFill="1" applyBorder="1" applyAlignment="1">
      <alignment horizontal="left"/>
    </xf>
    <xf numFmtId="0" fontId="4" fillId="2" borderId="44" xfId="0" applyFont="1" applyFill="1" applyBorder="1" applyAlignment="1">
      <alignment horizontal="left"/>
    </xf>
    <xf numFmtId="0" fontId="2"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cellXfs>
  <cellStyles count="27">
    <cellStyle name="Euro" xfId="22" xr:uid="{00000000-0005-0000-0000-000033000000}"/>
    <cellStyle name="Excel Built-in Normal" xfId="15" xr:uid="{00000000-0005-0000-0000-00000F000000}"/>
    <cellStyle name="Hipervínculo" xfId="18" builtinId="8"/>
    <cellStyle name="Hipervínculo 2" xfId="14" xr:uid="{00000000-0005-0000-0000-00000E000000}"/>
    <cellStyle name="Millares" xfId="24" builtinId="3"/>
    <cellStyle name="Millares 2" xfId="13" xr:uid="{00000000-0005-0000-0000-00000D000000}"/>
    <cellStyle name="Millares 2 2" xfId="11" xr:uid="{00000000-0005-0000-0000-00000B000000}"/>
    <cellStyle name="Millares 2 3" xfId="10" xr:uid="{00000000-0005-0000-0000-00000A000000}"/>
    <cellStyle name="Millares 3" xfId="9" xr:uid="{00000000-0005-0000-0000-000009000000}"/>
    <cellStyle name="Millares 4" xfId="8" xr:uid="{00000000-0005-0000-0000-000008000000}"/>
    <cellStyle name="Millares 5" xfId="7" xr:uid="{00000000-0005-0000-0000-000007000000}"/>
    <cellStyle name="Moneda [0] 2" xfId="21" xr:uid="{00000000-0005-0000-0000-000030000000}"/>
    <cellStyle name="Moneda 2" xfId="6" xr:uid="{00000000-0005-0000-0000-000006000000}"/>
    <cellStyle name="Normal" xfId="0" builtinId="0"/>
    <cellStyle name="Normal 2" xfId="20" xr:uid="{00000000-0005-0000-0000-00002E000000}"/>
    <cellStyle name="Normal 2 2" xfId="16" xr:uid="{00000000-0005-0000-0000-000013000000}"/>
    <cellStyle name="Normal 2 3" xfId="25" xr:uid="{00000000-0005-0000-0000-000044000000}"/>
    <cellStyle name="Normal 3" xfId="23" xr:uid="{00000000-0005-0000-0000-00003A000000}"/>
    <cellStyle name="Normal 4" xfId="5" xr:uid="{00000000-0005-0000-0000-000005000000}"/>
    <cellStyle name="Normal 5" xfId="4" xr:uid="{00000000-0005-0000-0000-000004000000}"/>
    <cellStyle name="Normal 6" xfId="3" xr:uid="{00000000-0005-0000-0000-000003000000}"/>
    <cellStyle name="Normal 7" xfId="26" xr:uid="{00000000-0005-0000-0000-000046000000}"/>
    <cellStyle name="Normal 8" xfId="2" xr:uid="{00000000-0005-0000-0000-000002000000}"/>
    <cellStyle name="Percent 2" xfId="1" xr:uid="{00000000-0005-0000-0000-000001000000}"/>
    <cellStyle name="Porcentaje" xfId="19" builtinId="5"/>
    <cellStyle name="Porcentaje 2" xfId="17" xr:uid="{00000000-0005-0000-0000-000016000000}"/>
    <cellStyle name="Porcentaje 2 2" xfId="12" xr:uid="{00000000-0005-0000-0000-00000C000000}"/>
  </cellStyles>
  <dxfs count="0"/>
  <tableStyles count="0" defaultTableStyle="TableStyleMedium2" defaultPivotStyle="PivotStyleLight16"/>
  <colors>
    <mruColors>
      <color rgb="FFDAF0F2"/>
      <color rgb="FF2FB9CE"/>
      <color rgb="FF8CC63F"/>
      <color rgb="FFD8E6F0"/>
      <color rgb="FFEFECEA"/>
      <color rgb="FF1E252B"/>
      <color rgb="FFF9423A"/>
      <color rgb="FFB00000"/>
      <color rgb="FF800000"/>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iagrams/colors1.xml><?xml version="1.0" encoding="utf-8"?>
<dgm:colorsDef xmlns:dgm="http://schemas.openxmlformats.org/drawingml/2006/diagram" xmlns:a="http://schemas.openxmlformats.org/drawingml/2006/main" uniqueId="urn:microsoft.com/office/officeart/2005/8/colors/accent5_4#1">
  <dgm:title val=""/>
  <dgm:desc val=""/>
  <dgm:catLst>
    <dgm:cat type="accent5" pri="11400"/>
  </dgm:catLst>
  <dgm:styleLbl name="align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align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align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alignNode1">
    <dgm:fillClrLst meth="cycle">
      <a:schemeClr val="accent5">
        <a:shade val="50000"/>
      </a:schemeClr>
      <a:schemeClr val="accent5">
        <a:tint val="55000"/>
      </a:schemeClr>
    </dgm:fillClrLst>
    <dgm:linClrLst meth="cycle">
      <a:schemeClr val="accent5">
        <a:shade val="50000"/>
      </a:schemeClr>
      <a:schemeClr val="accent5">
        <a:tint val="55000"/>
      </a:schemeClr>
    </dgm:linClrLst>
    <dgm:effectClrLst/>
    <dgm:txLinClrLst/>
    <dgm:txFillClrLst/>
    <dgm:txEffectClrLst/>
  </dgm:styleLbl>
  <dgm:styleLbl name="asst0">
    <dgm:fillClrLst meth="repeat">
      <a:schemeClr val="accent5">
        <a:shade val="80000"/>
      </a:schemeClr>
    </dgm:fillClrLst>
    <dgm:linClrLst meth="repeat">
      <a:schemeClr val="lt1"/>
    </dgm:linClrLst>
    <dgm:effectClrLst/>
    <dgm:txLinClrLst/>
    <dgm:txFillClrLst/>
    <dgm:txEffectClrLst/>
  </dgm:styleLbl>
  <dgm:styleLbl name="asst1">
    <dgm:fillClrLst meth="repeat">
      <a:schemeClr val="accent5">
        <a:shade val="80000"/>
      </a:schemeClr>
    </dgm:fillClrLst>
    <dgm:linClrLst meth="repeat">
      <a:schemeClr val="lt1"/>
    </dgm:linClrLst>
    <dgm:effectClrLst/>
    <dgm:txLinClrLst/>
    <dgm:txFillClrLst/>
    <dgm:txEffectClrLst/>
  </dgm:styleLbl>
  <dgm:styleLbl name="asst2">
    <dgm:fillClrLst>
      <a:schemeClr val="accent5">
        <a:tint val="90000"/>
      </a:schemeClr>
    </dgm:fillClrLst>
    <dgm:linClrLst meth="repeat">
      <a:schemeClr val="lt1"/>
    </dgm:linClrLst>
    <dgm:effectClrLst/>
    <dgm:txLinClrLst/>
    <dgm:txFillClrLst/>
    <dgm:txEffectClrLst/>
  </dgm:styleLbl>
  <dgm:styleLbl name="asst3">
    <dgm:fillClrLst>
      <a:schemeClr val="accent5">
        <a:tint val="70000"/>
      </a:schemeClr>
    </dgm:fillClrLst>
    <dgm:linClrLst meth="repeat">
      <a:schemeClr val="lt1"/>
    </dgm:linClrLst>
    <dgm:effectClrLst/>
    <dgm:txLinClrLst/>
    <dgm:txFillClrLst/>
    <dgm:txEffectClrLst/>
  </dgm:styleLbl>
  <dgm:styleLbl name="asst4">
    <dgm:fillClrLst>
      <a:schemeClr val="accent5">
        <a:tint val="50000"/>
      </a:schemeClr>
    </dgm:fillClrLst>
    <dgm:linClrLst meth="repeat">
      <a:schemeClr val="lt1"/>
    </dgm:linClrLst>
    <dgm:effectClrLst/>
    <dgm:txLinClrLst/>
    <dgm:txFillClrLst/>
    <dgm:txEffectClrLst/>
  </dgm:styleLbl>
  <dgm:styleLbl name="b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bgAccFollowNode1">
    <dgm:fillClrLst meth="repeat">
      <a:schemeClr val="accent5">
        <a:alpha val="90000"/>
        <a:tint val="55000"/>
      </a:schemeClr>
    </dgm:fillClrLst>
    <dgm:linClrLst meth="repeat">
      <a:schemeClr val="lt1"/>
    </dgm:linClrLst>
    <dgm:effectClrLst/>
    <dgm:txLinClrLst/>
    <dgm:txFillClrLst meth="repeat">
      <a:schemeClr val="dk1"/>
    </dgm:txFillClrLst>
    <dgm:txEffectClrLst/>
  </dgm:styleLbl>
  <dgm:styleLbl name="b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bgShp">
    <dgm:fillClrLst meth="repeat">
      <a:schemeClr val="accent5">
        <a:tint val="55000"/>
      </a:schemeClr>
    </dgm:fillClrLst>
    <dgm:linClrLst meth="repeat">
      <a:schemeClr val="dk1"/>
    </dgm:linClrLst>
    <dgm:effectClrLst/>
    <dgm:txLinClrLst/>
    <dgm:txFillClrLst meth="repeat">
      <a:schemeClr val="dk1"/>
    </dgm:txFillClrLst>
    <dgm:txEffectClrLst/>
  </dgm:styleLbl>
  <dgm:styleLbl name="b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con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fgAcc0">
    <dgm:fillClrLst meth="repeat">
      <a:schemeClr val="lt1">
        <a:alpha val="90000"/>
      </a:schemeClr>
    </dgm:fillClrLst>
    <dgm:linClrLst meth="repeat">
      <a:schemeClr val="accent5">
        <a:shade val="80000"/>
      </a:schemeClr>
    </dgm:linClrLst>
    <dgm:effectClrLst/>
    <dgm:txLinClrLst/>
    <dgm:txFillClrLst meth="repeat">
      <a:schemeClr val="dk1"/>
    </dgm:txFillClrLst>
    <dgm:txEffectClrLst/>
  </dgm:styleLbl>
  <dgm:styleLbl name="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5">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5">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5">
        <a:tint val="50000"/>
      </a:schemeClr>
    </dgm:linClrLst>
    <dgm:effectClrLst/>
    <dgm:txLinClrLst/>
    <dgm:txFillClrLst meth="repeat">
      <a:schemeClr val="dk1"/>
    </dgm:txFillClrLst>
    <dgm:txEffectClrLst/>
  </dgm:styleLbl>
  <dgm:styleLbl name="fg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f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fgShp">
    <dgm:fillClrLst meth="repeat">
      <a:schemeClr val="accent5">
        <a:tint val="55000"/>
      </a:schemeClr>
    </dgm:fillClrLst>
    <dgm:linClrLst meth="repeat">
      <a:schemeClr val="lt1"/>
    </dgm:linClrLst>
    <dgm:effectClrLst/>
    <dgm:txLinClrLst/>
    <dgm:txFillClrLst meth="repeat">
      <a:schemeClr val="dk1"/>
    </dgm:txFillClrLst>
    <dgm:txEffectClrLst/>
  </dgm:styleLbl>
  <dgm:styleLbl name="f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ln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0">
    <dgm:fillClrLst meth="cycle">
      <a:schemeClr val="accent5">
        <a:shade val="60000"/>
      </a:schemeClr>
    </dgm:fillClrLst>
    <dgm:linClrLst meth="repeat">
      <a:schemeClr val="lt1"/>
    </dgm:linClrLst>
    <dgm:effectClrLst/>
    <dgm:txLinClrLst/>
    <dgm:txFillClrLst/>
    <dgm:txEffectClrLst/>
  </dgm:styleLbl>
  <dgm:styleLbl name="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2">
    <dgm:fillClrLst>
      <a:schemeClr val="accent5">
        <a:shade val="80000"/>
      </a:schemeClr>
    </dgm:fillClrLst>
    <dgm:linClrLst meth="repeat">
      <a:schemeClr val="lt1"/>
    </dgm:linClrLst>
    <dgm:effectClrLst/>
    <dgm:txLinClrLst/>
    <dgm:txFillClrLst/>
    <dgm:txEffectClrLst/>
  </dgm:styleLbl>
  <dgm:styleLbl name="node3">
    <dgm:fillClrLst>
      <a:schemeClr val="accent5">
        <a:tint val="99000"/>
      </a:schemeClr>
    </dgm:fillClrLst>
    <dgm:linClrLst meth="repeat">
      <a:schemeClr val="lt1"/>
    </dgm:linClrLst>
    <dgm:effectClrLst/>
    <dgm:txLinClrLst/>
    <dgm:txFillClrLst/>
    <dgm:txEffectClrLst/>
  </dgm:styleLbl>
  <dgm:styleLbl name="node4">
    <dgm:fillClrLst>
      <a:schemeClr val="accent5">
        <a:tint val="70000"/>
      </a:schemeClr>
    </dgm:fillClrLst>
    <dgm:linClrLst meth="repeat">
      <a:schemeClr val="lt1"/>
    </dgm:linClrLst>
    <dgm:effectClrLst/>
    <dgm:txLinClrLst/>
    <dgm:txFillClrLst/>
    <dgm:txEffectClrLst/>
  </dgm:styleLbl>
  <dgm:styleLbl name="parChTrans1D1">
    <dgm:fillClrLst meth="repeat">
      <a:schemeClr val="accent5">
        <a:shade val="80000"/>
      </a:schemeClr>
    </dgm:fillClrLst>
    <dgm:linClrLst meth="repeat">
      <a:schemeClr val="accent5">
        <a:shade val="80000"/>
      </a:schemeClr>
    </dgm:linClrLst>
    <dgm:effectClrLst/>
    <dgm:txLinClrLst/>
    <dgm:txFillClrLst meth="repeat">
      <a:schemeClr val="tx1"/>
    </dgm:txFillClrLst>
    <dgm:txEffectClrLst/>
  </dgm:styleLbl>
  <dgm:styleLbl name="parChTrans1D2">
    <dgm:fillClrLst meth="repeat">
      <a:schemeClr val="accent5">
        <a:tint val="90000"/>
      </a:schemeClr>
    </dgm:fillClrLst>
    <dgm:linClrLst meth="repeat">
      <a:schemeClr val="accent5">
        <a:tint val="90000"/>
      </a:schemeClr>
    </dgm:linClrLst>
    <dgm:effectClrLst/>
    <dgm:txLinClrLst/>
    <dgm:txFillClrLst meth="repeat">
      <a:schemeClr val="tx1"/>
    </dgm:txFillClrLst>
    <dgm:txEffectClrLst/>
  </dgm:styleLbl>
  <dgm:styleLbl name="parChTrans1D3">
    <dgm:fillClrLst meth="repeat">
      <a:schemeClr val="accent5">
        <a:tint val="70000"/>
      </a:schemeClr>
    </dgm:fillClrLst>
    <dgm:linClrLst meth="repeat">
      <a:schemeClr val="accent5">
        <a:tint val="70000"/>
      </a:schemeClr>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5">
        <a:tint val="50000"/>
      </a:schemeClr>
    </dgm:linClrLst>
    <dgm:effectClrLst/>
    <dgm:txLinClrLst/>
    <dgm:txFillClrLst meth="repeat">
      <a:schemeClr val="tx1"/>
    </dgm:txFillClrLst>
    <dgm:txEffectClrLst/>
  </dgm:styleLbl>
  <dgm:styleLbl name="parChTrans2D1">
    <dgm:fillClrLst meth="repeat">
      <a:schemeClr val="accent5">
        <a:tint val="60000"/>
      </a:schemeClr>
    </dgm:fillClrLst>
    <dgm:linClrLst meth="repeat">
      <a:schemeClr val="accent5">
        <a:shade val="80000"/>
      </a:schemeClr>
    </dgm:linClrLst>
    <dgm:effectClrLst/>
    <dgm:txLinClrLst/>
    <dgm:txFillClrLst/>
    <dgm:txEffectClrLst/>
  </dgm:styleLbl>
  <dgm:styleLbl name="parChTrans2D2">
    <dgm:fillClrLst meth="repeat">
      <a:schemeClr val="accent5">
        <a:tint val="90000"/>
      </a:schemeClr>
    </dgm:fillClrLst>
    <dgm:linClrLst meth="repeat">
      <a:schemeClr val="accent5">
        <a:tint val="90000"/>
      </a:schemeClr>
    </dgm:linClrLst>
    <dgm:effectClrLst/>
    <dgm:txLinClrLst/>
    <dgm:txFillClrLst/>
    <dgm:txEffectClrLst/>
  </dgm:styleLbl>
  <dgm:styleLbl name="parChTrans2D3">
    <dgm:fillClrLst meth="repeat">
      <a:schemeClr val="accent5">
        <a:tint val="70000"/>
      </a:schemeClr>
    </dgm:fillClrLst>
    <dgm:linClrLst meth="repeat">
      <a:schemeClr val="accent5">
        <a:tint val="70000"/>
      </a:schemeClr>
    </dgm:linClrLst>
    <dgm:effectClrLst/>
    <dgm:txLinClrLst/>
    <dgm:txFillClrLst/>
    <dgm:txEffectClrLst/>
  </dgm:styleLbl>
  <dgm:styleLbl name="parChTrans2D4">
    <dgm:fillClrLst meth="repeat">
      <a:schemeClr val="accent5">
        <a:tint val="50000"/>
      </a:schemeClr>
    </dgm:fillClrLst>
    <dgm:linClrLst meth="repeat">
      <a:schemeClr val="accent5">
        <a:tint val="50000"/>
      </a:schemeClr>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styleLbl name="sibTrans1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meth="repeat">
      <a:schemeClr val="tx1"/>
    </dgm:txFillClrLst>
    <dgm:txEffectClrLst/>
  </dgm:styleLbl>
  <dgm:styleLbl name="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trAlignAcc1">
    <dgm:fillClrLst meth="repeat">
      <a:schemeClr val="lt1">
        <a:alpha val="55000"/>
      </a:schemeClr>
    </dgm:fillClrLst>
    <dgm:linClrLst meth="repeat">
      <a:schemeClr val="accent5"/>
    </dgm:linClrLst>
    <dgm:effectClrLst/>
    <dgm:txLinClrLst/>
    <dgm:txFillClrLst meth="repeat">
      <a:schemeClr val="dk1"/>
    </dgm:txFillClrLst>
    <dgm:txEffectClrLst/>
  </dgm:styleLbl>
  <dgm:styleLbl name="trBgShp">
    <dgm:fillClrLst meth="repeat">
      <a:schemeClr val="accent5">
        <a:tint val="50000"/>
        <a:alpha val="55000"/>
      </a:schemeClr>
    </dgm:fillClrLst>
    <dgm:linClrLst meth="repeat">
      <a:schemeClr val="accent5"/>
    </dgm:linClrLst>
    <dgm:effectClrLst/>
    <dgm:txLinClrLst/>
    <dgm:txFillClrLst meth="repeat">
      <a:schemeClr val="lt1"/>
    </dgm:txFillClrLst>
    <dgm:txEffectClrLst/>
  </dgm:styleLbl>
  <dgm:styleLbl name="vennNode1">
    <dgm:fillClrLst meth="cycle">
      <a:schemeClr val="accent5">
        <a:shade val="80000"/>
        <a:alpha val="50000"/>
      </a:schemeClr>
      <a:schemeClr val="accent5">
        <a:tint val="50000"/>
        <a:alpha val="50000"/>
      </a:schemeClr>
    </dgm:fillClrLst>
    <dgm:linClrLst meth="repeat">
      <a:schemeClr val="lt1"/>
    </dgm:linClrLst>
    <dgm:effectClrLst/>
    <dgm:txLinClrLst/>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5_4#2">
  <dgm:title val=""/>
  <dgm:desc val=""/>
  <dgm:catLst>
    <dgm:cat type="accent5" pri="11400"/>
  </dgm:catLst>
  <dgm:styleLbl name="align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align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align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alignNode1">
    <dgm:fillClrLst meth="cycle">
      <a:schemeClr val="accent5">
        <a:shade val="50000"/>
      </a:schemeClr>
      <a:schemeClr val="accent5">
        <a:tint val="55000"/>
      </a:schemeClr>
    </dgm:fillClrLst>
    <dgm:linClrLst meth="cycle">
      <a:schemeClr val="accent5">
        <a:shade val="50000"/>
      </a:schemeClr>
      <a:schemeClr val="accent5">
        <a:tint val="55000"/>
      </a:schemeClr>
    </dgm:linClrLst>
    <dgm:effectClrLst/>
    <dgm:txLinClrLst/>
    <dgm:txFillClrLst/>
    <dgm:txEffectClrLst/>
  </dgm:styleLbl>
  <dgm:styleLbl name="asst0">
    <dgm:fillClrLst meth="repeat">
      <a:schemeClr val="accent5">
        <a:shade val="80000"/>
      </a:schemeClr>
    </dgm:fillClrLst>
    <dgm:linClrLst meth="repeat">
      <a:schemeClr val="lt1"/>
    </dgm:linClrLst>
    <dgm:effectClrLst/>
    <dgm:txLinClrLst/>
    <dgm:txFillClrLst/>
    <dgm:txEffectClrLst/>
  </dgm:styleLbl>
  <dgm:styleLbl name="asst1">
    <dgm:fillClrLst meth="repeat">
      <a:schemeClr val="accent5">
        <a:shade val="80000"/>
      </a:schemeClr>
    </dgm:fillClrLst>
    <dgm:linClrLst meth="repeat">
      <a:schemeClr val="lt1"/>
    </dgm:linClrLst>
    <dgm:effectClrLst/>
    <dgm:txLinClrLst/>
    <dgm:txFillClrLst/>
    <dgm:txEffectClrLst/>
  </dgm:styleLbl>
  <dgm:styleLbl name="asst2">
    <dgm:fillClrLst>
      <a:schemeClr val="accent5">
        <a:tint val="90000"/>
      </a:schemeClr>
    </dgm:fillClrLst>
    <dgm:linClrLst meth="repeat">
      <a:schemeClr val="lt1"/>
    </dgm:linClrLst>
    <dgm:effectClrLst/>
    <dgm:txLinClrLst/>
    <dgm:txFillClrLst/>
    <dgm:txEffectClrLst/>
  </dgm:styleLbl>
  <dgm:styleLbl name="asst3">
    <dgm:fillClrLst>
      <a:schemeClr val="accent5">
        <a:tint val="70000"/>
      </a:schemeClr>
    </dgm:fillClrLst>
    <dgm:linClrLst meth="repeat">
      <a:schemeClr val="lt1"/>
    </dgm:linClrLst>
    <dgm:effectClrLst/>
    <dgm:txLinClrLst/>
    <dgm:txFillClrLst/>
    <dgm:txEffectClrLst/>
  </dgm:styleLbl>
  <dgm:styleLbl name="asst4">
    <dgm:fillClrLst>
      <a:schemeClr val="accent5">
        <a:tint val="50000"/>
      </a:schemeClr>
    </dgm:fillClrLst>
    <dgm:linClrLst meth="repeat">
      <a:schemeClr val="lt1"/>
    </dgm:linClrLst>
    <dgm:effectClrLst/>
    <dgm:txLinClrLst/>
    <dgm:txFillClrLst/>
    <dgm:txEffectClrLst/>
  </dgm:styleLbl>
  <dgm:styleLbl name="b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bgAccFollowNode1">
    <dgm:fillClrLst meth="repeat">
      <a:schemeClr val="accent5">
        <a:alpha val="90000"/>
        <a:tint val="55000"/>
      </a:schemeClr>
    </dgm:fillClrLst>
    <dgm:linClrLst meth="repeat">
      <a:schemeClr val="lt1"/>
    </dgm:linClrLst>
    <dgm:effectClrLst/>
    <dgm:txLinClrLst/>
    <dgm:txFillClrLst meth="repeat">
      <a:schemeClr val="dk1"/>
    </dgm:txFillClrLst>
    <dgm:txEffectClrLst/>
  </dgm:styleLbl>
  <dgm:styleLbl name="b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bgShp">
    <dgm:fillClrLst meth="repeat">
      <a:schemeClr val="accent5">
        <a:tint val="55000"/>
      </a:schemeClr>
    </dgm:fillClrLst>
    <dgm:linClrLst meth="repeat">
      <a:schemeClr val="dk1"/>
    </dgm:linClrLst>
    <dgm:effectClrLst/>
    <dgm:txLinClrLst/>
    <dgm:txFillClrLst meth="repeat">
      <a:schemeClr val="dk1"/>
    </dgm:txFillClrLst>
    <dgm:txEffectClrLst/>
  </dgm:styleLbl>
  <dgm:styleLbl name="b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con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fgAcc0">
    <dgm:fillClrLst meth="repeat">
      <a:schemeClr val="lt1">
        <a:alpha val="90000"/>
      </a:schemeClr>
    </dgm:fillClrLst>
    <dgm:linClrLst meth="repeat">
      <a:schemeClr val="accent5">
        <a:shade val="80000"/>
      </a:schemeClr>
    </dgm:linClrLst>
    <dgm:effectClrLst/>
    <dgm:txLinClrLst/>
    <dgm:txFillClrLst meth="repeat">
      <a:schemeClr val="dk1"/>
    </dgm:txFillClrLst>
    <dgm:txEffectClrLst/>
  </dgm:styleLbl>
  <dgm:styleLbl name="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5">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5">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5">
        <a:tint val="50000"/>
      </a:schemeClr>
    </dgm:linClrLst>
    <dgm:effectClrLst/>
    <dgm:txLinClrLst/>
    <dgm:txFillClrLst meth="repeat">
      <a:schemeClr val="dk1"/>
    </dgm:txFillClrLst>
    <dgm:txEffectClrLst/>
  </dgm:styleLbl>
  <dgm:styleLbl name="fg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f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fgShp">
    <dgm:fillClrLst meth="repeat">
      <a:schemeClr val="accent5">
        <a:tint val="55000"/>
      </a:schemeClr>
    </dgm:fillClrLst>
    <dgm:linClrLst meth="repeat">
      <a:schemeClr val="lt1"/>
    </dgm:linClrLst>
    <dgm:effectClrLst/>
    <dgm:txLinClrLst/>
    <dgm:txFillClrLst meth="repeat">
      <a:schemeClr val="dk1"/>
    </dgm:txFillClrLst>
    <dgm:txEffectClrLst/>
  </dgm:styleLbl>
  <dgm:styleLbl name="f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ln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0">
    <dgm:fillClrLst meth="cycle">
      <a:schemeClr val="accent5">
        <a:shade val="60000"/>
      </a:schemeClr>
    </dgm:fillClrLst>
    <dgm:linClrLst meth="repeat">
      <a:schemeClr val="lt1"/>
    </dgm:linClrLst>
    <dgm:effectClrLst/>
    <dgm:txLinClrLst/>
    <dgm:txFillClrLst/>
    <dgm:txEffectClrLst/>
  </dgm:styleLbl>
  <dgm:styleLbl name="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2">
    <dgm:fillClrLst>
      <a:schemeClr val="accent5">
        <a:shade val="80000"/>
      </a:schemeClr>
    </dgm:fillClrLst>
    <dgm:linClrLst meth="repeat">
      <a:schemeClr val="lt1"/>
    </dgm:linClrLst>
    <dgm:effectClrLst/>
    <dgm:txLinClrLst/>
    <dgm:txFillClrLst/>
    <dgm:txEffectClrLst/>
  </dgm:styleLbl>
  <dgm:styleLbl name="node3">
    <dgm:fillClrLst>
      <a:schemeClr val="accent5">
        <a:tint val="99000"/>
      </a:schemeClr>
    </dgm:fillClrLst>
    <dgm:linClrLst meth="repeat">
      <a:schemeClr val="lt1"/>
    </dgm:linClrLst>
    <dgm:effectClrLst/>
    <dgm:txLinClrLst/>
    <dgm:txFillClrLst/>
    <dgm:txEffectClrLst/>
  </dgm:styleLbl>
  <dgm:styleLbl name="node4">
    <dgm:fillClrLst>
      <a:schemeClr val="accent5">
        <a:tint val="70000"/>
      </a:schemeClr>
    </dgm:fillClrLst>
    <dgm:linClrLst meth="repeat">
      <a:schemeClr val="lt1"/>
    </dgm:linClrLst>
    <dgm:effectClrLst/>
    <dgm:txLinClrLst/>
    <dgm:txFillClrLst/>
    <dgm:txEffectClrLst/>
  </dgm:styleLbl>
  <dgm:styleLbl name="parChTrans1D1">
    <dgm:fillClrLst meth="repeat">
      <a:schemeClr val="accent5">
        <a:shade val="80000"/>
      </a:schemeClr>
    </dgm:fillClrLst>
    <dgm:linClrLst meth="repeat">
      <a:schemeClr val="accent5">
        <a:shade val="80000"/>
      </a:schemeClr>
    </dgm:linClrLst>
    <dgm:effectClrLst/>
    <dgm:txLinClrLst/>
    <dgm:txFillClrLst meth="repeat">
      <a:schemeClr val="tx1"/>
    </dgm:txFillClrLst>
    <dgm:txEffectClrLst/>
  </dgm:styleLbl>
  <dgm:styleLbl name="parChTrans1D2">
    <dgm:fillClrLst meth="repeat">
      <a:schemeClr val="accent5">
        <a:tint val="90000"/>
      </a:schemeClr>
    </dgm:fillClrLst>
    <dgm:linClrLst meth="repeat">
      <a:schemeClr val="accent5">
        <a:tint val="90000"/>
      </a:schemeClr>
    </dgm:linClrLst>
    <dgm:effectClrLst/>
    <dgm:txLinClrLst/>
    <dgm:txFillClrLst meth="repeat">
      <a:schemeClr val="tx1"/>
    </dgm:txFillClrLst>
    <dgm:txEffectClrLst/>
  </dgm:styleLbl>
  <dgm:styleLbl name="parChTrans1D3">
    <dgm:fillClrLst meth="repeat">
      <a:schemeClr val="accent5">
        <a:tint val="70000"/>
      </a:schemeClr>
    </dgm:fillClrLst>
    <dgm:linClrLst meth="repeat">
      <a:schemeClr val="accent5">
        <a:tint val="70000"/>
      </a:schemeClr>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5">
        <a:tint val="50000"/>
      </a:schemeClr>
    </dgm:linClrLst>
    <dgm:effectClrLst/>
    <dgm:txLinClrLst/>
    <dgm:txFillClrLst meth="repeat">
      <a:schemeClr val="tx1"/>
    </dgm:txFillClrLst>
    <dgm:txEffectClrLst/>
  </dgm:styleLbl>
  <dgm:styleLbl name="parChTrans2D1">
    <dgm:fillClrLst meth="repeat">
      <a:schemeClr val="accent5">
        <a:tint val="60000"/>
      </a:schemeClr>
    </dgm:fillClrLst>
    <dgm:linClrLst meth="repeat">
      <a:schemeClr val="accent5">
        <a:shade val="80000"/>
      </a:schemeClr>
    </dgm:linClrLst>
    <dgm:effectClrLst/>
    <dgm:txLinClrLst/>
    <dgm:txFillClrLst/>
    <dgm:txEffectClrLst/>
  </dgm:styleLbl>
  <dgm:styleLbl name="parChTrans2D2">
    <dgm:fillClrLst meth="repeat">
      <a:schemeClr val="accent5">
        <a:tint val="90000"/>
      </a:schemeClr>
    </dgm:fillClrLst>
    <dgm:linClrLst meth="repeat">
      <a:schemeClr val="accent5">
        <a:tint val="90000"/>
      </a:schemeClr>
    </dgm:linClrLst>
    <dgm:effectClrLst/>
    <dgm:txLinClrLst/>
    <dgm:txFillClrLst/>
    <dgm:txEffectClrLst/>
  </dgm:styleLbl>
  <dgm:styleLbl name="parChTrans2D3">
    <dgm:fillClrLst meth="repeat">
      <a:schemeClr val="accent5">
        <a:tint val="70000"/>
      </a:schemeClr>
    </dgm:fillClrLst>
    <dgm:linClrLst meth="repeat">
      <a:schemeClr val="accent5">
        <a:tint val="70000"/>
      </a:schemeClr>
    </dgm:linClrLst>
    <dgm:effectClrLst/>
    <dgm:txLinClrLst/>
    <dgm:txFillClrLst/>
    <dgm:txEffectClrLst/>
  </dgm:styleLbl>
  <dgm:styleLbl name="parChTrans2D4">
    <dgm:fillClrLst meth="repeat">
      <a:schemeClr val="accent5">
        <a:tint val="50000"/>
      </a:schemeClr>
    </dgm:fillClrLst>
    <dgm:linClrLst meth="repeat">
      <a:schemeClr val="accent5">
        <a:tint val="50000"/>
      </a:schemeClr>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styleLbl name="sibTrans1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meth="repeat">
      <a:schemeClr val="tx1"/>
    </dgm:txFillClrLst>
    <dgm:txEffectClrLst/>
  </dgm:styleLbl>
  <dgm:styleLbl name="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trAlignAcc1">
    <dgm:fillClrLst meth="repeat">
      <a:schemeClr val="lt1">
        <a:alpha val="55000"/>
      </a:schemeClr>
    </dgm:fillClrLst>
    <dgm:linClrLst meth="repeat">
      <a:schemeClr val="accent5"/>
    </dgm:linClrLst>
    <dgm:effectClrLst/>
    <dgm:txLinClrLst/>
    <dgm:txFillClrLst meth="repeat">
      <a:schemeClr val="dk1"/>
    </dgm:txFillClrLst>
    <dgm:txEffectClrLst/>
  </dgm:styleLbl>
  <dgm:styleLbl name="trBgShp">
    <dgm:fillClrLst meth="repeat">
      <a:schemeClr val="accent5">
        <a:tint val="50000"/>
        <a:alpha val="55000"/>
      </a:schemeClr>
    </dgm:fillClrLst>
    <dgm:linClrLst meth="repeat">
      <a:schemeClr val="accent5"/>
    </dgm:linClrLst>
    <dgm:effectClrLst/>
    <dgm:txLinClrLst/>
    <dgm:txFillClrLst meth="repeat">
      <a:schemeClr val="lt1"/>
    </dgm:txFillClrLst>
    <dgm:txEffectClrLst/>
  </dgm:styleLbl>
  <dgm:styleLbl name="vennNode1">
    <dgm:fillClrLst meth="cycle">
      <a:schemeClr val="accent5">
        <a:shade val="80000"/>
        <a:alpha val="50000"/>
      </a:schemeClr>
      <a:schemeClr val="accent5">
        <a:tint val="50000"/>
        <a:alpha val="50000"/>
      </a:schemeClr>
    </dgm:fillClrLst>
    <dgm:linClrLst meth="repeat">
      <a:schemeClr val="lt1"/>
    </dgm:linClrLst>
    <dgm:effectClrLst/>
    <dgm:txLinClrLst/>
    <dgm:txFillClrLst/>
    <dgm:txEffectClrLst/>
  </dgm:styleLbl>
</dgm:colorsDef>
</file>

<file path=xl/diagrams/data1.xml><?xml version="1.0" encoding="utf-8"?>
<dgm:dataModel xmlns:dgm="http://schemas.openxmlformats.org/drawingml/2006/diagram" xmlns:a="http://schemas.openxmlformats.org/drawingml/2006/main">
  <dgm:ptLst>
    <dgm:pt modelId="{B8BFD9FF-CE01-4902-9191-ACFE83A222D6}" type="doc">
      <dgm:prSet loTypeId="urn:microsoft.com/office/officeart/2005/8/layout/StepDownProcess#1" loCatId="process" qsTypeId="urn:microsoft.com/office/officeart/2005/8/quickstyle/simple1#1" qsCatId="simple" csTypeId="urn:microsoft.com/office/officeart/2005/8/colors/accent5_4#1" csCatId="accent5" phldr="1"/>
      <dgm:spPr/>
      <dgm:t>
        <a:bodyPr/>
        <a:lstStyle/>
        <a:p>
          <a:endParaRPr lang="es-CO"/>
        </a:p>
      </dgm:t>
    </dgm:pt>
    <dgm:pt modelId="{6B2DE8F5-1FA0-4ABC-9E05-E66D6F0EA8DA}">
      <dgm:prSet phldrT="[Texto]" custT="1"/>
      <dgm:spPr/>
      <dgm:t>
        <a:bodyPr/>
        <a:lstStyle/>
        <a:p>
          <a:pPr algn="l"/>
          <a:r>
            <a:rPr lang="es-CO" sz="1000" b="1" dirty="0">
              <a:latin typeface="Avenir Next LT Pro" panose="020B0504020202020204" pitchFamily="34" charset="0"/>
            </a:rPr>
            <a:t>Definición de limites organizacionales y operacionales e identificación de Fuentes de GEI</a:t>
          </a:r>
        </a:p>
      </dgm:t>
    </dgm:pt>
    <dgm:pt modelId="{E3D42CCF-3851-4F82-8F6F-05F6F255AD66}" type="parTrans" cxnId="{258940A8-3D88-4906-BD2F-9BA6B4210C49}">
      <dgm:prSet/>
      <dgm:spPr/>
      <dgm:t>
        <a:bodyPr/>
        <a:lstStyle/>
        <a:p>
          <a:pPr algn="l"/>
          <a:endParaRPr lang="es-CO" sz="2400">
            <a:latin typeface="Avenir Next LT Pro" panose="020B0504020202020204" pitchFamily="34" charset="0"/>
          </a:endParaRPr>
        </a:p>
      </dgm:t>
    </dgm:pt>
    <dgm:pt modelId="{28F0ED47-C484-4E32-AC0B-8F8BC96A3EE1}" type="sibTrans" cxnId="{258940A8-3D88-4906-BD2F-9BA6B4210C49}">
      <dgm:prSet/>
      <dgm:spPr/>
      <dgm:t>
        <a:bodyPr/>
        <a:lstStyle/>
        <a:p>
          <a:pPr algn="l"/>
          <a:endParaRPr lang="es-CO" sz="2400">
            <a:latin typeface="Avenir Next LT Pro" panose="020B0504020202020204" pitchFamily="34" charset="0"/>
          </a:endParaRPr>
        </a:p>
      </dgm:t>
    </dgm:pt>
    <dgm:pt modelId="{FDD05EB3-8626-4CFD-984F-1C890D1BA511}">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Identificar las fuentes de emisiones relacionadas con la generación directa o indirecta de GEI.</a:t>
          </a:r>
        </a:p>
      </dgm:t>
    </dgm:pt>
    <dgm:pt modelId="{DCE481AF-294A-4897-BC67-7B594B8E32BE}" type="parTrans" cxnId="{C4DC95FC-E083-4C26-9CB0-8F6E752C7D66}">
      <dgm:prSet/>
      <dgm:spPr/>
      <dgm:t>
        <a:bodyPr/>
        <a:lstStyle/>
        <a:p>
          <a:pPr algn="l"/>
          <a:endParaRPr lang="es-CO" sz="2400">
            <a:latin typeface="Avenir Next LT Pro" panose="020B0504020202020204" pitchFamily="34" charset="0"/>
          </a:endParaRPr>
        </a:p>
      </dgm:t>
    </dgm:pt>
    <dgm:pt modelId="{C97C057E-C0CE-4140-A828-57D79A696A88}" type="sibTrans" cxnId="{C4DC95FC-E083-4C26-9CB0-8F6E752C7D66}">
      <dgm:prSet/>
      <dgm:spPr/>
      <dgm:t>
        <a:bodyPr/>
        <a:lstStyle/>
        <a:p>
          <a:pPr algn="l"/>
          <a:endParaRPr lang="es-CO" sz="2400">
            <a:latin typeface="Avenir Next LT Pro" panose="020B0504020202020204" pitchFamily="34" charset="0"/>
          </a:endParaRPr>
        </a:p>
      </dgm:t>
    </dgm:pt>
    <dgm:pt modelId="{63AF0E0F-3AE8-4DAE-AE0B-84FC9F16F70C}">
      <dgm:prSet phldrT="[Texto]" custT="1"/>
      <dgm:spPr/>
      <dgm:t>
        <a:bodyPr/>
        <a:lstStyle/>
        <a:p>
          <a:pPr algn="l"/>
          <a:r>
            <a:rPr lang="es-CO" sz="1000" b="1" dirty="0">
              <a:latin typeface="Avenir Next LT Pro" panose="020B0504020202020204" pitchFamily="34" charset="0"/>
            </a:rPr>
            <a:t>Clasificación y selección de las datos de actividad</a:t>
          </a:r>
        </a:p>
      </dgm:t>
    </dgm:pt>
    <dgm:pt modelId="{E69C34D5-0909-47D2-B9E6-1FAD101EB5FA}" type="parTrans" cxnId="{B2F3EEA1-A142-472F-B0DB-E55B20175D68}">
      <dgm:prSet/>
      <dgm:spPr/>
      <dgm:t>
        <a:bodyPr/>
        <a:lstStyle/>
        <a:p>
          <a:pPr algn="l"/>
          <a:endParaRPr lang="es-CO" sz="2400">
            <a:latin typeface="Avenir Next LT Pro" panose="020B0504020202020204" pitchFamily="34" charset="0"/>
          </a:endParaRPr>
        </a:p>
      </dgm:t>
    </dgm:pt>
    <dgm:pt modelId="{3D3909F4-A389-4359-B9BE-63B1283FC0A1}" type="sibTrans" cxnId="{B2F3EEA1-A142-472F-B0DB-E55B20175D68}">
      <dgm:prSet/>
      <dgm:spPr/>
      <dgm:t>
        <a:bodyPr/>
        <a:lstStyle/>
        <a:p>
          <a:pPr algn="l"/>
          <a:endParaRPr lang="es-CO" sz="2400">
            <a:latin typeface="Avenir Next LT Pro" panose="020B0504020202020204" pitchFamily="34" charset="0"/>
          </a:endParaRPr>
        </a:p>
      </dgm:t>
    </dgm:pt>
    <dgm:pt modelId="{548BDF2B-B3B0-4DC0-A6AC-0837554832DA}">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Seleccionar los datos de actividad asociados a las fuentes identificadas para la organización.</a:t>
          </a:r>
        </a:p>
      </dgm:t>
    </dgm:pt>
    <dgm:pt modelId="{2CC4523E-75BE-498F-81CC-775F96F1264A}" type="parTrans" cxnId="{317902E1-D271-49A1-8911-EC504BAA9739}">
      <dgm:prSet/>
      <dgm:spPr/>
      <dgm:t>
        <a:bodyPr/>
        <a:lstStyle/>
        <a:p>
          <a:pPr algn="l"/>
          <a:endParaRPr lang="es-CO" sz="2400">
            <a:latin typeface="Avenir Next LT Pro" panose="020B0504020202020204" pitchFamily="34" charset="0"/>
          </a:endParaRPr>
        </a:p>
      </dgm:t>
    </dgm:pt>
    <dgm:pt modelId="{A3AB3A1D-52A5-408A-BD65-08CF423C89C4}" type="sibTrans" cxnId="{317902E1-D271-49A1-8911-EC504BAA9739}">
      <dgm:prSet/>
      <dgm:spPr/>
      <dgm:t>
        <a:bodyPr/>
        <a:lstStyle/>
        <a:p>
          <a:pPr algn="l"/>
          <a:endParaRPr lang="es-CO" sz="2400">
            <a:latin typeface="Avenir Next LT Pro" panose="020B0504020202020204" pitchFamily="34" charset="0"/>
          </a:endParaRPr>
        </a:p>
      </dgm:t>
    </dgm:pt>
    <dgm:pt modelId="{9397DA26-CEFF-4022-9C92-721B6CEFA0BC}">
      <dgm:prSet phldrT="[Texto]" custT="1"/>
      <dgm:spPr/>
      <dgm:t>
        <a:bodyPr/>
        <a:lstStyle/>
        <a:p>
          <a:pPr algn="l"/>
          <a:r>
            <a:rPr lang="es-CO" sz="1000" b="1" dirty="0">
              <a:latin typeface="Avenir Next LT Pro" panose="020B0504020202020204" pitchFamily="34" charset="0"/>
            </a:rPr>
            <a:t>Caracterización de la información recibida</a:t>
          </a:r>
        </a:p>
      </dgm:t>
    </dgm:pt>
    <dgm:pt modelId="{A3AF1C58-222C-4E6B-9B5F-500F2B5CA3F5}" type="parTrans" cxnId="{252A9A7E-21D3-4A78-B402-5FBE1372587F}">
      <dgm:prSet/>
      <dgm:spPr/>
      <dgm:t>
        <a:bodyPr/>
        <a:lstStyle/>
        <a:p>
          <a:pPr algn="l"/>
          <a:endParaRPr lang="es-CO" sz="2400">
            <a:latin typeface="Avenir Next LT Pro" panose="020B0504020202020204" pitchFamily="34" charset="0"/>
          </a:endParaRPr>
        </a:p>
      </dgm:t>
    </dgm:pt>
    <dgm:pt modelId="{082774F2-EC86-4649-82E1-15D087A0CC17}" type="sibTrans" cxnId="{252A9A7E-21D3-4A78-B402-5FBE1372587F}">
      <dgm:prSet/>
      <dgm:spPr/>
      <dgm:t>
        <a:bodyPr/>
        <a:lstStyle/>
        <a:p>
          <a:pPr algn="l"/>
          <a:endParaRPr lang="es-CO" sz="2400">
            <a:latin typeface="Avenir Next LT Pro" panose="020B0504020202020204" pitchFamily="34" charset="0"/>
          </a:endParaRPr>
        </a:p>
      </dgm:t>
    </dgm:pt>
    <dgm:pt modelId="{E9B53826-B56C-447F-A6D4-2694CAEDC878}">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Identificar aspectos relacionados con el flujo de la información como: origen, responsables de registro, reporte, soportes, revisiones, y acciones de mejoras implementadas para garantizar el funcionamiento del sistema.</a:t>
          </a:r>
        </a:p>
      </dgm:t>
    </dgm:pt>
    <dgm:pt modelId="{5F6CBCEE-B5CD-42A4-96F1-F552C4B810B0}" type="parTrans" cxnId="{BE41C810-6651-47D8-8B94-E24BFBDAA95F}">
      <dgm:prSet/>
      <dgm:spPr/>
      <dgm:t>
        <a:bodyPr/>
        <a:lstStyle/>
        <a:p>
          <a:pPr algn="l"/>
          <a:endParaRPr lang="es-CO" sz="2400">
            <a:latin typeface="Avenir Next LT Pro" panose="020B0504020202020204" pitchFamily="34" charset="0"/>
          </a:endParaRPr>
        </a:p>
      </dgm:t>
    </dgm:pt>
    <dgm:pt modelId="{8BF1C458-1390-4EDD-A75E-7C3DDEE2031B}" type="sibTrans" cxnId="{BE41C810-6651-47D8-8B94-E24BFBDAA95F}">
      <dgm:prSet/>
      <dgm:spPr/>
      <dgm:t>
        <a:bodyPr/>
        <a:lstStyle/>
        <a:p>
          <a:pPr algn="l"/>
          <a:endParaRPr lang="es-CO" sz="2400">
            <a:latin typeface="Avenir Next LT Pro" panose="020B0504020202020204" pitchFamily="34" charset="0"/>
          </a:endParaRPr>
        </a:p>
      </dgm:t>
    </dgm:pt>
    <dgm:pt modelId="{C3E87AFB-F036-48B2-9315-4CCC2253D4E0}">
      <dgm:prSet phldrT="[Texto]" custT="1"/>
      <dgm:spPr/>
      <dgm:t>
        <a:bodyPr/>
        <a:lstStyle/>
        <a:p>
          <a:pPr algn="l"/>
          <a:r>
            <a:rPr lang="es-CO" sz="1000" b="1" dirty="0">
              <a:latin typeface="Avenir Next LT Pro" panose="020B0504020202020204" pitchFamily="34" charset="0"/>
            </a:rPr>
            <a:t>Consolidación de información  para el reporte de Huella de Carbono </a:t>
          </a:r>
        </a:p>
      </dgm:t>
    </dgm:pt>
    <dgm:pt modelId="{AB800DE0-EFD6-4CA7-89CB-EAA7BA30CEF7}" type="parTrans" cxnId="{BC02B983-5D5E-401C-AB6C-386ADD6E030D}">
      <dgm:prSet/>
      <dgm:spPr/>
      <dgm:t>
        <a:bodyPr/>
        <a:lstStyle/>
        <a:p>
          <a:pPr algn="l"/>
          <a:endParaRPr lang="es-CO" sz="2400">
            <a:latin typeface="Avenir Next LT Pro" panose="020B0504020202020204" pitchFamily="34" charset="0"/>
          </a:endParaRPr>
        </a:p>
      </dgm:t>
    </dgm:pt>
    <dgm:pt modelId="{DD9F8425-1AB9-4096-9FC6-2A04F33D1240}" type="sibTrans" cxnId="{BC02B983-5D5E-401C-AB6C-386ADD6E030D}">
      <dgm:prSet/>
      <dgm:spPr/>
      <dgm:t>
        <a:bodyPr/>
        <a:lstStyle/>
        <a:p>
          <a:pPr algn="l"/>
          <a:endParaRPr lang="es-CO" sz="2400">
            <a:latin typeface="Avenir Next LT Pro" panose="020B0504020202020204" pitchFamily="34" charset="0"/>
          </a:endParaRPr>
        </a:p>
      </dgm:t>
    </dgm:pt>
    <dgm:pt modelId="{A4CFBCC2-D6C5-4A30-BDD9-DBF9D522B113}">
      <dgm:prSet phldrT="[Texto]" custT="1"/>
      <dgm:spPr/>
      <dgm:t>
        <a:bodyPr/>
        <a:lstStyle/>
        <a:p>
          <a:pPr algn="l"/>
          <a:r>
            <a:rPr lang="es-CO" sz="1000" b="1" dirty="0">
              <a:latin typeface="Avenir Next LT Pro" panose="020B0504020202020204" pitchFamily="34" charset="0"/>
            </a:rPr>
            <a:t>Completar la  pestaña de EMISIONES </a:t>
          </a:r>
        </a:p>
      </dgm:t>
    </dgm:pt>
    <dgm:pt modelId="{3E611261-46FA-4AD5-9695-D7ACDF5CE159}" type="parTrans" cxnId="{E54CE1D6-8EFC-4099-B3AD-2065297C766A}">
      <dgm:prSet/>
      <dgm:spPr/>
      <dgm:t>
        <a:bodyPr/>
        <a:lstStyle/>
        <a:p>
          <a:pPr algn="l"/>
          <a:endParaRPr lang="es-CO" sz="2400">
            <a:latin typeface="Avenir Next LT Pro" panose="020B0504020202020204" pitchFamily="34" charset="0"/>
          </a:endParaRPr>
        </a:p>
      </dgm:t>
    </dgm:pt>
    <dgm:pt modelId="{8985FF02-86EA-4D5C-A090-E8E96AED23AE}" type="sibTrans" cxnId="{E54CE1D6-8EFC-4099-B3AD-2065297C766A}">
      <dgm:prSet/>
      <dgm:spPr/>
      <dgm:t>
        <a:bodyPr/>
        <a:lstStyle/>
        <a:p>
          <a:pPr algn="l"/>
          <a:endParaRPr lang="es-CO" sz="2400">
            <a:latin typeface="Avenir Next LT Pro" panose="020B0504020202020204" pitchFamily="34" charset="0"/>
          </a:endParaRPr>
        </a:p>
      </dgm:t>
    </dgm:pt>
    <dgm:pt modelId="{5D0F3868-F22C-4533-8CF7-8BC1C08A5D30}">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Definir los limites organizacionales y operacionales de acuerdo a los lineamientos del Estándar Técnico de RTH Corporativo - Carbono.</a:t>
          </a:r>
        </a:p>
      </dgm:t>
    </dgm:pt>
    <dgm:pt modelId="{79A5ED1B-DA86-43E8-A069-C22BD39E7467}" type="parTrans" cxnId="{D39A078C-8FDB-4BEB-AF6B-405F20D39A65}">
      <dgm:prSet/>
      <dgm:spPr/>
      <dgm:t>
        <a:bodyPr/>
        <a:lstStyle/>
        <a:p>
          <a:endParaRPr lang="es-CO" sz="2400">
            <a:latin typeface="Avenir Next LT Pro" panose="020B0504020202020204" pitchFamily="34" charset="0"/>
          </a:endParaRPr>
        </a:p>
      </dgm:t>
    </dgm:pt>
    <dgm:pt modelId="{245D6CB6-FFC9-4B8A-B7A8-679DF9B3AA64}" type="sibTrans" cxnId="{D39A078C-8FDB-4BEB-AF6B-405F20D39A65}">
      <dgm:prSet/>
      <dgm:spPr/>
      <dgm:t>
        <a:bodyPr/>
        <a:lstStyle/>
        <a:p>
          <a:endParaRPr lang="es-CO" sz="2400">
            <a:latin typeface="Avenir Next LT Pro" panose="020B0504020202020204" pitchFamily="34" charset="0"/>
          </a:endParaRPr>
        </a:p>
      </dgm:t>
    </dgm:pt>
    <dgm:pt modelId="{0A504891-3EED-4092-A46C-5D62E2939B49}" type="pres">
      <dgm:prSet presAssocID="{B8BFD9FF-CE01-4902-9191-ACFE83A222D6}" presName="rootnode" presStyleCnt="0">
        <dgm:presLayoutVars>
          <dgm:chMax/>
          <dgm:chPref/>
          <dgm:dir/>
          <dgm:animLvl val="lvl"/>
        </dgm:presLayoutVars>
      </dgm:prSet>
      <dgm:spPr/>
    </dgm:pt>
    <dgm:pt modelId="{53D5EADE-C42C-46C8-B4E8-13283BA1F7D9}" type="pres">
      <dgm:prSet presAssocID="{6B2DE8F5-1FA0-4ABC-9E05-E66D6F0EA8DA}" presName="composite" presStyleCnt="0"/>
      <dgm:spPr/>
    </dgm:pt>
    <dgm:pt modelId="{0E7885BE-B784-4A79-8063-6D29A052C642}" type="pres">
      <dgm:prSet presAssocID="{6B2DE8F5-1FA0-4ABC-9E05-E66D6F0EA8DA}" presName="bentUpArrow1" presStyleLbl="alignImgPlace1" presStyleIdx="0" presStyleCnt="4" custLinFactNeighborX="-16456"/>
      <dgm:spPr/>
    </dgm:pt>
    <dgm:pt modelId="{4D2B7216-01DC-4BD1-B04C-9C69C194A568}" type="pres">
      <dgm:prSet presAssocID="{6B2DE8F5-1FA0-4ABC-9E05-E66D6F0EA8DA}" presName="ParentText" presStyleLbl="node1" presStyleIdx="0" presStyleCnt="5" custScaleX="120898" custScaleY="101552" custLinFactNeighborX="-21280">
        <dgm:presLayoutVars>
          <dgm:chMax val="1"/>
          <dgm:chPref val="1"/>
          <dgm:bulletEnabled val="1"/>
        </dgm:presLayoutVars>
      </dgm:prSet>
      <dgm:spPr/>
    </dgm:pt>
    <dgm:pt modelId="{CFC6C6F6-873C-4F6B-9327-738B0990C95B}" type="pres">
      <dgm:prSet presAssocID="{6B2DE8F5-1FA0-4ABC-9E05-E66D6F0EA8DA}" presName="ChildText" presStyleLbl="revTx" presStyleIdx="0" presStyleCnt="4" custScaleX="650966" custScaleY="110923" custLinFactX="100000" custLinFactNeighborX="178185" custLinFactNeighborY="6795">
        <dgm:presLayoutVars>
          <dgm:chMax val="0"/>
          <dgm:chPref val="0"/>
          <dgm:bulletEnabled val="1"/>
        </dgm:presLayoutVars>
      </dgm:prSet>
      <dgm:spPr/>
    </dgm:pt>
    <dgm:pt modelId="{0B32F818-87EA-4A7F-A9E6-8D418F6A644B}" type="pres">
      <dgm:prSet presAssocID="{28F0ED47-C484-4E32-AC0B-8F8BC96A3EE1}" presName="sibTrans" presStyleCnt="0"/>
      <dgm:spPr/>
    </dgm:pt>
    <dgm:pt modelId="{F8A8A4ED-EFCE-44E8-B59C-C6DD46F4FC26}" type="pres">
      <dgm:prSet presAssocID="{63AF0E0F-3AE8-4DAE-AE0B-84FC9F16F70C}" presName="composite" presStyleCnt="0"/>
      <dgm:spPr/>
    </dgm:pt>
    <dgm:pt modelId="{0B8D6A91-9A90-4F6B-8C9A-91D84380422D}" type="pres">
      <dgm:prSet presAssocID="{63AF0E0F-3AE8-4DAE-AE0B-84FC9F16F70C}" presName="bentUpArrow1" presStyleLbl="alignImgPlace1" presStyleIdx="1" presStyleCnt="4" custLinFactNeighborX="-31464"/>
      <dgm:spPr/>
    </dgm:pt>
    <dgm:pt modelId="{33475939-2E79-4E9A-8104-DF17984D3A98}" type="pres">
      <dgm:prSet presAssocID="{63AF0E0F-3AE8-4DAE-AE0B-84FC9F16F70C}" presName="ParentText" presStyleLbl="node1" presStyleIdx="1" presStyleCnt="5" custScaleX="120898" custScaleY="101552" custLinFactNeighborX="-49259">
        <dgm:presLayoutVars>
          <dgm:chMax val="1"/>
          <dgm:chPref val="1"/>
          <dgm:bulletEnabled val="1"/>
        </dgm:presLayoutVars>
      </dgm:prSet>
      <dgm:spPr/>
    </dgm:pt>
    <dgm:pt modelId="{3DF63D40-31C5-467F-B4B4-69CC917140B3}" type="pres">
      <dgm:prSet presAssocID="{63AF0E0F-3AE8-4DAE-AE0B-84FC9F16F70C}" presName="ChildText" presStyleLbl="revTx" presStyleIdx="1" presStyleCnt="4" custScaleX="496419" custScaleY="125726" custLinFactX="58035" custLinFactNeighborX="100000" custLinFactNeighborY="-773">
        <dgm:presLayoutVars>
          <dgm:chMax val="0"/>
          <dgm:chPref val="0"/>
          <dgm:bulletEnabled val="1"/>
        </dgm:presLayoutVars>
      </dgm:prSet>
      <dgm:spPr/>
    </dgm:pt>
    <dgm:pt modelId="{C3CB30CC-D1BF-4F03-8ACF-5D22B1B32D14}" type="pres">
      <dgm:prSet presAssocID="{3D3909F4-A389-4359-B9BE-63B1283FC0A1}" presName="sibTrans" presStyleCnt="0"/>
      <dgm:spPr/>
    </dgm:pt>
    <dgm:pt modelId="{EED3D06B-8142-4EFA-9C95-B8BF6ECC8D68}" type="pres">
      <dgm:prSet presAssocID="{9397DA26-CEFF-4022-9C92-721B6CEFA0BC}" presName="composite" presStyleCnt="0"/>
      <dgm:spPr/>
    </dgm:pt>
    <dgm:pt modelId="{0DA851C5-895D-4DDA-B718-5B83BF5E2A13}" type="pres">
      <dgm:prSet presAssocID="{9397DA26-CEFF-4022-9C92-721B6CEFA0BC}" presName="bentUpArrow1" presStyleLbl="alignImgPlace1" presStyleIdx="2" presStyleCnt="4" custScaleX="162148" custLinFactX="-85467" custLinFactNeighborX="-100000" custLinFactNeighborY="-1807"/>
      <dgm:spPr/>
    </dgm:pt>
    <dgm:pt modelId="{65DAA22A-E297-4895-9749-B1CCA6D0D05C}" type="pres">
      <dgm:prSet presAssocID="{9397DA26-CEFF-4022-9C92-721B6CEFA0BC}" presName="ParentText" presStyleLbl="node1" presStyleIdx="2" presStyleCnt="5" custScaleX="120898" custScaleY="101552" custLinFactX="-72208" custLinFactNeighborX="-100000" custLinFactNeighborY="-4602">
        <dgm:presLayoutVars>
          <dgm:chMax val="1"/>
          <dgm:chPref val="1"/>
          <dgm:bulletEnabled val="1"/>
        </dgm:presLayoutVars>
      </dgm:prSet>
      <dgm:spPr/>
    </dgm:pt>
    <dgm:pt modelId="{100F53C7-D896-42A0-A9C5-5FBCAE795958}" type="pres">
      <dgm:prSet presAssocID="{9397DA26-CEFF-4022-9C92-721B6CEFA0BC}" presName="ChildText" presStyleLbl="revTx" presStyleIdx="2" presStyleCnt="4" custScaleX="537825" custScaleY="141929" custLinFactNeighborX="21272" custLinFactNeighborY="-2168">
        <dgm:presLayoutVars>
          <dgm:chMax val="0"/>
          <dgm:chPref val="0"/>
          <dgm:bulletEnabled val="1"/>
        </dgm:presLayoutVars>
      </dgm:prSet>
      <dgm:spPr/>
    </dgm:pt>
    <dgm:pt modelId="{D237F5CE-448C-4E78-B07E-B780B5B2EA27}" type="pres">
      <dgm:prSet presAssocID="{082774F2-EC86-4649-82E1-15D087A0CC17}" presName="sibTrans" presStyleCnt="0"/>
      <dgm:spPr/>
    </dgm:pt>
    <dgm:pt modelId="{DA5E1978-0A5D-41A1-80AA-13545389D2FF}" type="pres">
      <dgm:prSet presAssocID="{C3E87AFB-F036-48B2-9315-4CCC2253D4E0}" presName="composite" presStyleCnt="0"/>
      <dgm:spPr/>
    </dgm:pt>
    <dgm:pt modelId="{B119A5A8-E654-4653-B2E3-84958CB25550}" type="pres">
      <dgm:prSet presAssocID="{C3E87AFB-F036-48B2-9315-4CCC2253D4E0}" presName="bentUpArrow1" presStyleLbl="alignImgPlace1" presStyleIdx="3" presStyleCnt="4" custLinFactX="-100000" custLinFactNeighborX="-136562" custLinFactNeighborY="7230"/>
      <dgm:spPr/>
    </dgm:pt>
    <dgm:pt modelId="{E0E0F27B-B4D0-4E2D-B47F-9880F55D4B17}" type="pres">
      <dgm:prSet presAssocID="{C3E87AFB-F036-48B2-9315-4CCC2253D4E0}" presName="ParentText" presStyleLbl="node1" presStyleIdx="3" presStyleCnt="5" custScaleX="138921" custScaleY="101552" custLinFactX="-100000" custLinFactNeighborX="-107559" custLinFactNeighborY="4602">
        <dgm:presLayoutVars>
          <dgm:chMax val="1"/>
          <dgm:chPref val="1"/>
          <dgm:bulletEnabled val="1"/>
        </dgm:presLayoutVars>
      </dgm:prSet>
      <dgm:spPr/>
    </dgm:pt>
    <dgm:pt modelId="{2FE27063-B36B-4D1B-BCE7-25DBA02F5A3C}" type="pres">
      <dgm:prSet presAssocID="{C3E87AFB-F036-48B2-9315-4CCC2253D4E0}" presName="ChildText" presStyleLbl="revTx" presStyleIdx="3" presStyleCnt="4">
        <dgm:presLayoutVars>
          <dgm:chMax val="0"/>
          <dgm:chPref val="0"/>
          <dgm:bulletEnabled val="1"/>
        </dgm:presLayoutVars>
      </dgm:prSet>
      <dgm:spPr/>
    </dgm:pt>
    <dgm:pt modelId="{1771CC7C-3862-4D7F-BBC9-0D940E26E107}" type="pres">
      <dgm:prSet presAssocID="{DD9F8425-1AB9-4096-9FC6-2A04F33D1240}" presName="sibTrans" presStyleCnt="0"/>
      <dgm:spPr/>
    </dgm:pt>
    <dgm:pt modelId="{C22A2442-61DC-4385-BFE6-0AFA104CC05B}" type="pres">
      <dgm:prSet presAssocID="{A4CFBCC2-D6C5-4A30-BDD9-DBF9D522B113}" presName="composite" presStyleCnt="0"/>
      <dgm:spPr/>
    </dgm:pt>
    <dgm:pt modelId="{5E8D2394-5CCA-4C78-9D12-A3F7F661926B}" type="pres">
      <dgm:prSet presAssocID="{A4CFBCC2-D6C5-4A30-BDD9-DBF9D522B113}" presName="ParentText" presStyleLbl="node1" presStyleIdx="4" presStyleCnt="5" custScaleX="120898" custScaleY="101552" custLinFactX="-100000" custLinFactNeighborX="-198172" custLinFactNeighborY="1534">
        <dgm:presLayoutVars>
          <dgm:chMax val="1"/>
          <dgm:chPref val="1"/>
          <dgm:bulletEnabled val="1"/>
        </dgm:presLayoutVars>
      </dgm:prSet>
      <dgm:spPr/>
    </dgm:pt>
  </dgm:ptLst>
  <dgm:cxnLst>
    <dgm:cxn modelId="{BE41C810-6651-47D8-8B94-E24BFBDAA95F}" srcId="{9397DA26-CEFF-4022-9C92-721B6CEFA0BC}" destId="{E9B53826-B56C-447F-A6D4-2694CAEDC878}" srcOrd="0" destOrd="0" parTransId="{5F6CBCEE-B5CD-42A4-96F1-F552C4B810B0}" sibTransId="{8BF1C458-1390-4EDD-A75E-7C3DDEE2031B}"/>
    <dgm:cxn modelId="{A38D4112-C153-4297-A495-7A86DD6A84E5}" type="presOf" srcId="{E9B53826-B56C-447F-A6D4-2694CAEDC878}" destId="{100F53C7-D896-42A0-A9C5-5FBCAE795958}" srcOrd="0" destOrd="0" presId="urn:microsoft.com/office/officeart/2005/8/layout/StepDownProcess#1"/>
    <dgm:cxn modelId="{3E0BB72F-E268-45BF-817B-D5673C739832}" type="presOf" srcId="{6B2DE8F5-1FA0-4ABC-9E05-E66D6F0EA8DA}" destId="{4D2B7216-01DC-4BD1-B04C-9C69C194A568}" srcOrd="0" destOrd="0" presId="urn:microsoft.com/office/officeart/2005/8/layout/StepDownProcess#1"/>
    <dgm:cxn modelId="{CFA4475D-6446-49E3-A871-5B24E1DE9B2B}" type="presOf" srcId="{548BDF2B-B3B0-4DC0-A6AC-0837554832DA}" destId="{3DF63D40-31C5-467F-B4B4-69CC917140B3}" srcOrd="0" destOrd="0" presId="urn:microsoft.com/office/officeart/2005/8/layout/StepDownProcess#1"/>
    <dgm:cxn modelId="{5C3B3068-0FC8-42E2-920B-2586F5810AF3}" type="presOf" srcId="{B8BFD9FF-CE01-4902-9191-ACFE83A222D6}" destId="{0A504891-3EED-4092-A46C-5D62E2939B49}" srcOrd="0" destOrd="0" presId="urn:microsoft.com/office/officeart/2005/8/layout/StepDownProcess#1"/>
    <dgm:cxn modelId="{A18F474D-4257-4D03-9DF6-1BA1282AFC93}" type="presOf" srcId="{FDD05EB3-8626-4CFD-984F-1C890D1BA511}" destId="{CFC6C6F6-873C-4F6B-9327-738B0990C95B}" srcOrd="0" destOrd="1" presId="urn:microsoft.com/office/officeart/2005/8/layout/StepDownProcess#1"/>
    <dgm:cxn modelId="{252A9A7E-21D3-4A78-B402-5FBE1372587F}" srcId="{B8BFD9FF-CE01-4902-9191-ACFE83A222D6}" destId="{9397DA26-CEFF-4022-9C92-721B6CEFA0BC}" srcOrd="2" destOrd="0" parTransId="{A3AF1C58-222C-4E6B-9B5F-500F2B5CA3F5}" sibTransId="{082774F2-EC86-4649-82E1-15D087A0CC17}"/>
    <dgm:cxn modelId="{BC02B983-5D5E-401C-AB6C-386ADD6E030D}" srcId="{B8BFD9FF-CE01-4902-9191-ACFE83A222D6}" destId="{C3E87AFB-F036-48B2-9315-4CCC2253D4E0}" srcOrd="3" destOrd="0" parTransId="{AB800DE0-EFD6-4CA7-89CB-EAA7BA30CEF7}" sibTransId="{DD9F8425-1AB9-4096-9FC6-2A04F33D1240}"/>
    <dgm:cxn modelId="{A75E1288-971A-4A72-9BE7-6946206B85E6}" type="presOf" srcId="{C3E87AFB-F036-48B2-9315-4CCC2253D4E0}" destId="{E0E0F27B-B4D0-4E2D-B47F-9880F55D4B17}" srcOrd="0" destOrd="0" presId="urn:microsoft.com/office/officeart/2005/8/layout/StepDownProcess#1"/>
    <dgm:cxn modelId="{03D7A88B-0892-4EA1-964E-AF802755EC38}" type="presOf" srcId="{9397DA26-CEFF-4022-9C92-721B6CEFA0BC}" destId="{65DAA22A-E297-4895-9749-B1CCA6D0D05C}" srcOrd="0" destOrd="0" presId="urn:microsoft.com/office/officeart/2005/8/layout/StepDownProcess#1"/>
    <dgm:cxn modelId="{D39A078C-8FDB-4BEB-AF6B-405F20D39A65}" srcId="{6B2DE8F5-1FA0-4ABC-9E05-E66D6F0EA8DA}" destId="{5D0F3868-F22C-4533-8CF7-8BC1C08A5D30}" srcOrd="0" destOrd="0" parTransId="{79A5ED1B-DA86-43E8-A069-C22BD39E7467}" sibTransId="{245D6CB6-FFC9-4B8A-B7A8-679DF9B3AA64}"/>
    <dgm:cxn modelId="{B2F3EEA1-A142-472F-B0DB-E55B20175D68}" srcId="{B8BFD9FF-CE01-4902-9191-ACFE83A222D6}" destId="{63AF0E0F-3AE8-4DAE-AE0B-84FC9F16F70C}" srcOrd="1" destOrd="0" parTransId="{E69C34D5-0909-47D2-B9E6-1FAD101EB5FA}" sibTransId="{3D3909F4-A389-4359-B9BE-63B1283FC0A1}"/>
    <dgm:cxn modelId="{258940A8-3D88-4906-BD2F-9BA6B4210C49}" srcId="{B8BFD9FF-CE01-4902-9191-ACFE83A222D6}" destId="{6B2DE8F5-1FA0-4ABC-9E05-E66D6F0EA8DA}" srcOrd="0" destOrd="0" parTransId="{E3D42CCF-3851-4F82-8F6F-05F6F255AD66}" sibTransId="{28F0ED47-C484-4E32-AC0B-8F8BC96A3EE1}"/>
    <dgm:cxn modelId="{A07CDBD1-4DDD-4106-BC05-34CB3A82D8BE}" type="presOf" srcId="{63AF0E0F-3AE8-4DAE-AE0B-84FC9F16F70C}" destId="{33475939-2E79-4E9A-8104-DF17984D3A98}" srcOrd="0" destOrd="0" presId="urn:microsoft.com/office/officeart/2005/8/layout/StepDownProcess#1"/>
    <dgm:cxn modelId="{5EBA29D3-BFC7-4D55-B22D-8AA153C9B067}" type="presOf" srcId="{5D0F3868-F22C-4533-8CF7-8BC1C08A5D30}" destId="{CFC6C6F6-873C-4F6B-9327-738B0990C95B}" srcOrd="0" destOrd="0" presId="urn:microsoft.com/office/officeart/2005/8/layout/StepDownProcess#1"/>
    <dgm:cxn modelId="{E54CE1D6-8EFC-4099-B3AD-2065297C766A}" srcId="{B8BFD9FF-CE01-4902-9191-ACFE83A222D6}" destId="{A4CFBCC2-D6C5-4A30-BDD9-DBF9D522B113}" srcOrd="4" destOrd="0" parTransId="{3E611261-46FA-4AD5-9695-D7ACDF5CE159}" sibTransId="{8985FF02-86EA-4D5C-A090-E8E96AED23AE}"/>
    <dgm:cxn modelId="{D422FCD7-A38C-4210-88A9-0D30C5E44F9B}" type="presOf" srcId="{A4CFBCC2-D6C5-4A30-BDD9-DBF9D522B113}" destId="{5E8D2394-5CCA-4C78-9D12-A3F7F661926B}" srcOrd="0" destOrd="0" presId="urn:microsoft.com/office/officeart/2005/8/layout/StepDownProcess#1"/>
    <dgm:cxn modelId="{317902E1-D271-49A1-8911-EC504BAA9739}" srcId="{63AF0E0F-3AE8-4DAE-AE0B-84FC9F16F70C}" destId="{548BDF2B-B3B0-4DC0-A6AC-0837554832DA}" srcOrd="0" destOrd="0" parTransId="{2CC4523E-75BE-498F-81CC-775F96F1264A}" sibTransId="{A3AB3A1D-52A5-408A-BD65-08CF423C89C4}"/>
    <dgm:cxn modelId="{C4DC95FC-E083-4C26-9CB0-8F6E752C7D66}" srcId="{6B2DE8F5-1FA0-4ABC-9E05-E66D6F0EA8DA}" destId="{FDD05EB3-8626-4CFD-984F-1C890D1BA511}" srcOrd="1" destOrd="0" parTransId="{DCE481AF-294A-4897-BC67-7B594B8E32BE}" sibTransId="{C97C057E-C0CE-4140-A828-57D79A696A88}"/>
    <dgm:cxn modelId="{C3EA2D94-5DD2-4929-B5AA-F7653B4E78D1}" type="presParOf" srcId="{0A504891-3EED-4092-A46C-5D62E2939B49}" destId="{53D5EADE-C42C-46C8-B4E8-13283BA1F7D9}" srcOrd="0" destOrd="0" presId="urn:microsoft.com/office/officeart/2005/8/layout/StepDownProcess#1"/>
    <dgm:cxn modelId="{492A8F3D-FF51-4D94-B5E0-BBBD63FC6139}" type="presParOf" srcId="{53D5EADE-C42C-46C8-B4E8-13283BA1F7D9}" destId="{0E7885BE-B784-4A79-8063-6D29A052C642}" srcOrd="0" destOrd="0" presId="urn:microsoft.com/office/officeart/2005/8/layout/StepDownProcess#1"/>
    <dgm:cxn modelId="{EDD96EB6-A2B6-4030-864D-1CB96F2FE722}" type="presParOf" srcId="{53D5EADE-C42C-46C8-B4E8-13283BA1F7D9}" destId="{4D2B7216-01DC-4BD1-B04C-9C69C194A568}" srcOrd="1" destOrd="0" presId="urn:microsoft.com/office/officeart/2005/8/layout/StepDownProcess#1"/>
    <dgm:cxn modelId="{A1EF581B-4EA7-4F22-82BC-6A20A4B111A2}" type="presParOf" srcId="{53D5EADE-C42C-46C8-B4E8-13283BA1F7D9}" destId="{CFC6C6F6-873C-4F6B-9327-738B0990C95B}" srcOrd="2" destOrd="0" presId="urn:microsoft.com/office/officeart/2005/8/layout/StepDownProcess#1"/>
    <dgm:cxn modelId="{94DB7E35-79DB-439E-B568-3D41B9F03555}" type="presParOf" srcId="{0A504891-3EED-4092-A46C-5D62E2939B49}" destId="{0B32F818-87EA-4A7F-A9E6-8D418F6A644B}" srcOrd="1" destOrd="0" presId="urn:microsoft.com/office/officeart/2005/8/layout/StepDownProcess#1"/>
    <dgm:cxn modelId="{4DDD51F9-B8C7-4A7A-B8CC-D1023C741D21}" type="presParOf" srcId="{0A504891-3EED-4092-A46C-5D62E2939B49}" destId="{F8A8A4ED-EFCE-44E8-B59C-C6DD46F4FC26}" srcOrd="2" destOrd="0" presId="urn:microsoft.com/office/officeart/2005/8/layout/StepDownProcess#1"/>
    <dgm:cxn modelId="{D138B8FC-0E48-4889-8314-E8ABA1BC18DC}" type="presParOf" srcId="{F8A8A4ED-EFCE-44E8-B59C-C6DD46F4FC26}" destId="{0B8D6A91-9A90-4F6B-8C9A-91D84380422D}" srcOrd="0" destOrd="0" presId="urn:microsoft.com/office/officeart/2005/8/layout/StepDownProcess#1"/>
    <dgm:cxn modelId="{5AE06F4F-7AEE-45BB-9CBF-D6FA97EE3140}" type="presParOf" srcId="{F8A8A4ED-EFCE-44E8-B59C-C6DD46F4FC26}" destId="{33475939-2E79-4E9A-8104-DF17984D3A98}" srcOrd="1" destOrd="0" presId="urn:microsoft.com/office/officeart/2005/8/layout/StepDownProcess#1"/>
    <dgm:cxn modelId="{7AB3A470-B7C1-4E5C-9736-18E69610B773}" type="presParOf" srcId="{F8A8A4ED-EFCE-44E8-B59C-C6DD46F4FC26}" destId="{3DF63D40-31C5-467F-B4B4-69CC917140B3}" srcOrd="2" destOrd="0" presId="urn:microsoft.com/office/officeart/2005/8/layout/StepDownProcess#1"/>
    <dgm:cxn modelId="{95D797B3-0510-4E9E-BCF7-5EC27922F347}" type="presParOf" srcId="{0A504891-3EED-4092-A46C-5D62E2939B49}" destId="{C3CB30CC-D1BF-4F03-8ACF-5D22B1B32D14}" srcOrd="3" destOrd="0" presId="urn:microsoft.com/office/officeart/2005/8/layout/StepDownProcess#1"/>
    <dgm:cxn modelId="{FBDFCD6A-7DC3-44B1-BC44-1320868D5340}" type="presParOf" srcId="{0A504891-3EED-4092-A46C-5D62E2939B49}" destId="{EED3D06B-8142-4EFA-9C95-B8BF6ECC8D68}" srcOrd="4" destOrd="0" presId="urn:microsoft.com/office/officeart/2005/8/layout/StepDownProcess#1"/>
    <dgm:cxn modelId="{9E5722F4-3955-4D70-BC0E-293ABFA91165}" type="presParOf" srcId="{EED3D06B-8142-4EFA-9C95-B8BF6ECC8D68}" destId="{0DA851C5-895D-4DDA-B718-5B83BF5E2A13}" srcOrd="0" destOrd="0" presId="urn:microsoft.com/office/officeart/2005/8/layout/StepDownProcess#1"/>
    <dgm:cxn modelId="{BB26C983-05B3-4B03-9B1D-F82543C0E3D3}" type="presParOf" srcId="{EED3D06B-8142-4EFA-9C95-B8BF6ECC8D68}" destId="{65DAA22A-E297-4895-9749-B1CCA6D0D05C}" srcOrd="1" destOrd="0" presId="urn:microsoft.com/office/officeart/2005/8/layout/StepDownProcess#1"/>
    <dgm:cxn modelId="{43489E42-8470-44C3-BB49-4E7026BC5136}" type="presParOf" srcId="{EED3D06B-8142-4EFA-9C95-B8BF6ECC8D68}" destId="{100F53C7-D896-42A0-A9C5-5FBCAE795958}" srcOrd="2" destOrd="0" presId="urn:microsoft.com/office/officeart/2005/8/layout/StepDownProcess#1"/>
    <dgm:cxn modelId="{D6391AC4-A857-405D-8D47-0CE254DCA422}" type="presParOf" srcId="{0A504891-3EED-4092-A46C-5D62E2939B49}" destId="{D237F5CE-448C-4E78-B07E-B780B5B2EA27}" srcOrd="5" destOrd="0" presId="urn:microsoft.com/office/officeart/2005/8/layout/StepDownProcess#1"/>
    <dgm:cxn modelId="{84367DC6-312E-449A-AD06-3AA92947CA2F}" type="presParOf" srcId="{0A504891-3EED-4092-A46C-5D62E2939B49}" destId="{DA5E1978-0A5D-41A1-80AA-13545389D2FF}" srcOrd="6" destOrd="0" presId="urn:microsoft.com/office/officeart/2005/8/layout/StepDownProcess#1"/>
    <dgm:cxn modelId="{080C0C4D-E11C-4403-9124-6B8EB739C885}" type="presParOf" srcId="{DA5E1978-0A5D-41A1-80AA-13545389D2FF}" destId="{B119A5A8-E654-4653-B2E3-84958CB25550}" srcOrd="0" destOrd="0" presId="urn:microsoft.com/office/officeart/2005/8/layout/StepDownProcess#1"/>
    <dgm:cxn modelId="{7792F12C-20F9-4482-B443-145028F44C1C}" type="presParOf" srcId="{DA5E1978-0A5D-41A1-80AA-13545389D2FF}" destId="{E0E0F27B-B4D0-4E2D-B47F-9880F55D4B17}" srcOrd="1" destOrd="0" presId="urn:microsoft.com/office/officeart/2005/8/layout/StepDownProcess#1"/>
    <dgm:cxn modelId="{F85C3424-0E49-435C-9EAD-E17C4947EC94}" type="presParOf" srcId="{DA5E1978-0A5D-41A1-80AA-13545389D2FF}" destId="{2FE27063-B36B-4D1B-BCE7-25DBA02F5A3C}" srcOrd="2" destOrd="0" presId="urn:microsoft.com/office/officeart/2005/8/layout/StepDownProcess#1"/>
    <dgm:cxn modelId="{85956FED-1C97-4BB9-A064-411C3590BBC8}" type="presParOf" srcId="{0A504891-3EED-4092-A46C-5D62E2939B49}" destId="{1771CC7C-3862-4D7F-BBC9-0D940E26E107}" srcOrd="7" destOrd="0" presId="urn:microsoft.com/office/officeart/2005/8/layout/StepDownProcess#1"/>
    <dgm:cxn modelId="{EBDDCA96-2F2B-44A5-9D08-77C78D7673F9}" type="presParOf" srcId="{0A504891-3EED-4092-A46C-5D62E2939B49}" destId="{C22A2442-61DC-4385-BFE6-0AFA104CC05B}" srcOrd="8" destOrd="0" presId="urn:microsoft.com/office/officeart/2005/8/layout/StepDownProcess#1"/>
    <dgm:cxn modelId="{4EE5C438-F515-498E-970E-8BE73DE87526}" type="presParOf" srcId="{C22A2442-61DC-4385-BFE6-0AFA104CC05B}" destId="{5E8D2394-5CCA-4C78-9D12-A3F7F661926B}" srcOrd="0" destOrd="0" presId="urn:microsoft.com/office/officeart/2005/8/layout/StepDownProcess#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B8BFD9FF-CE01-4902-9191-ACFE83A222D6}" type="doc">
      <dgm:prSet loTypeId="urn:microsoft.com/office/officeart/2005/8/layout/StepDownProcess#2" loCatId="process" qsTypeId="urn:microsoft.com/office/officeart/2005/8/quickstyle/simple1#2" qsCatId="simple" csTypeId="urn:microsoft.com/office/officeart/2005/8/colors/accent5_4#2" csCatId="accent5" phldr="1"/>
      <dgm:spPr/>
      <dgm:t>
        <a:bodyPr/>
        <a:lstStyle/>
        <a:p>
          <a:endParaRPr lang="es-CO"/>
        </a:p>
      </dgm:t>
    </dgm:pt>
    <dgm:pt modelId="{6B2DE8F5-1FA0-4ABC-9E05-E66D6F0EA8DA}">
      <dgm:prSet phldrT="[Texto]" custT="1"/>
      <dgm:spPr/>
      <dgm:t>
        <a:bodyPr/>
        <a:lstStyle/>
        <a:p>
          <a:pPr algn="l"/>
          <a:r>
            <a:rPr lang="es-CO" sz="1000" b="1" dirty="0">
              <a:latin typeface="Avenir Next LT Pro" panose="020B0504020202020204" pitchFamily="34" charset="0"/>
            </a:rPr>
            <a:t>Identificación de las acciones de mitigación implementadas</a:t>
          </a:r>
        </a:p>
      </dgm:t>
    </dgm:pt>
    <dgm:pt modelId="{E3D42CCF-3851-4F82-8F6F-05F6F255AD66}" type="parTrans" cxnId="{258940A8-3D88-4906-BD2F-9BA6B4210C49}">
      <dgm:prSet/>
      <dgm:spPr/>
      <dgm:t>
        <a:bodyPr/>
        <a:lstStyle/>
        <a:p>
          <a:pPr algn="l"/>
          <a:endParaRPr lang="es-CO" sz="2400">
            <a:latin typeface="Avenir Next LT Pro" panose="020B0504020202020204" pitchFamily="34" charset="0"/>
          </a:endParaRPr>
        </a:p>
      </dgm:t>
    </dgm:pt>
    <dgm:pt modelId="{28F0ED47-C484-4E32-AC0B-8F8BC96A3EE1}" type="sibTrans" cxnId="{258940A8-3D88-4906-BD2F-9BA6B4210C49}">
      <dgm:prSet/>
      <dgm:spPr/>
      <dgm:t>
        <a:bodyPr/>
        <a:lstStyle/>
        <a:p>
          <a:pPr algn="l"/>
          <a:endParaRPr lang="es-CO" sz="2400">
            <a:latin typeface="Avenir Next LT Pro" panose="020B0504020202020204" pitchFamily="34" charset="0"/>
          </a:endParaRPr>
        </a:p>
      </dgm:t>
    </dgm:pt>
    <dgm:pt modelId="{63AF0E0F-3AE8-4DAE-AE0B-84FC9F16F70C}">
      <dgm:prSet phldrT="[Texto]" custT="1"/>
      <dgm:spPr/>
      <dgm:t>
        <a:bodyPr/>
        <a:lstStyle/>
        <a:p>
          <a:pPr algn="l"/>
          <a:r>
            <a:rPr lang="es-CO" sz="1000" b="1" dirty="0">
              <a:latin typeface="Avenir Next LT Pro" panose="020B0504020202020204" pitchFamily="34" charset="0"/>
            </a:rPr>
            <a:t>Levantamiento de información de las acciones de mitigación implementadas</a:t>
          </a:r>
        </a:p>
      </dgm:t>
    </dgm:pt>
    <dgm:pt modelId="{E69C34D5-0909-47D2-B9E6-1FAD101EB5FA}" type="parTrans" cxnId="{B2F3EEA1-A142-472F-B0DB-E55B20175D68}">
      <dgm:prSet/>
      <dgm:spPr/>
      <dgm:t>
        <a:bodyPr/>
        <a:lstStyle/>
        <a:p>
          <a:pPr algn="l"/>
          <a:endParaRPr lang="es-CO" sz="2400">
            <a:latin typeface="Avenir Next LT Pro" panose="020B0504020202020204" pitchFamily="34" charset="0"/>
          </a:endParaRPr>
        </a:p>
      </dgm:t>
    </dgm:pt>
    <dgm:pt modelId="{3D3909F4-A389-4359-B9BE-63B1283FC0A1}" type="sibTrans" cxnId="{B2F3EEA1-A142-472F-B0DB-E55B20175D68}">
      <dgm:prSet/>
      <dgm:spPr/>
      <dgm:t>
        <a:bodyPr/>
        <a:lstStyle/>
        <a:p>
          <a:pPr algn="l"/>
          <a:endParaRPr lang="es-CO" sz="2400">
            <a:latin typeface="Avenir Next LT Pro" panose="020B0504020202020204" pitchFamily="34" charset="0"/>
          </a:endParaRPr>
        </a:p>
      </dgm:t>
    </dgm:pt>
    <dgm:pt modelId="{548BDF2B-B3B0-4DC0-A6AC-0837554832DA}">
      <dgm:prSet phldrT="[Texto]" custT="1"/>
      <dgm:spPr>
        <a:ln>
          <a:solidFill>
            <a:srgbClr val="EFECEA"/>
          </a:solidFill>
        </a:ln>
      </dgm:spPr>
      <dgm:t>
        <a:bodyPr/>
        <a:lstStyle/>
        <a:p>
          <a:pPr algn="l"/>
          <a:r>
            <a:rPr lang="es-CO" sz="1100" dirty="0">
              <a:latin typeface="Avenir Next LT Pro" panose="020B0504020202020204" pitchFamily="34" charset="0"/>
            </a:rPr>
            <a:t>Levante información sobre las acciones de mitigación implementadas en el año de reporte.</a:t>
          </a:r>
        </a:p>
      </dgm:t>
    </dgm:pt>
    <dgm:pt modelId="{2CC4523E-75BE-498F-81CC-775F96F1264A}" type="parTrans" cxnId="{317902E1-D271-49A1-8911-EC504BAA9739}">
      <dgm:prSet/>
      <dgm:spPr/>
      <dgm:t>
        <a:bodyPr/>
        <a:lstStyle/>
        <a:p>
          <a:pPr algn="l"/>
          <a:endParaRPr lang="es-CO" sz="2400">
            <a:latin typeface="Avenir Next LT Pro" panose="020B0504020202020204" pitchFamily="34" charset="0"/>
          </a:endParaRPr>
        </a:p>
      </dgm:t>
    </dgm:pt>
    <dgm:pt modelId="{A3AB3A1D-52A5-408A-BD65-08CF423C89C4}" type="sibTrans" cxnId="{317902E1-D271-49A1-8911-EC504BAA9739}">
      <dgm:prSet/>
      <dgm:spPr/>
      <dgm:t>
        <a:bodyPr/>
        <a:lstStyle/>
        <a:p>
          <a:pPr algn="l"/>
          <a:endParaRPr lang="es-CO" sz="2400">
            <a:latin typeface="Avenir Next LT Pro" panose="020B0504020202020204" pitchFamily="34" charset="0"/>
          </a:endParaRPr>
        </a:p>
      </dgm:t>
    </dgm:pt>
    <dgm:pt modelId="{9397DA26-CEFF-4022-9C92-721B6CEFA0BC}">
      <dgm:prSet phldrT="[Texto]" custT="1"/>
      <dgm:spPr/>
      <dgm:t>
        <a:bodyPr/>
        <a:lstStyle/>
        <a:p>
          <a:pPr algn="l"/>
          <a:r>
            <a:rPr lang="es-CO" sz="1000" b="1" dirty="0">
              <a:latin typeface="Avenir Next LT Pro" panose="020B0504020202020204" pitchFamily="34" charset="0"/>
            </a:rPr>
            <a:t>Identificación de Remociones y/o proyectos de Compensación </a:t>
          </a:r>
        </a:p>
      </dgm:t>
    </dgm:pt>
    <dgm:pt modelId="{A3AF1C58-222C-4E6B-9B5F-500F2B5CA3F5}" type="parTrans" cxnId="{252A9A7E-21D3-4A78-B402-5FBE1372587F}">
      <dgm:prSet/>
      <dgm:spPr/>
      <dgm:t>
        <a:bodyPr/>
        <a:lstStyle/>
        <a:p>
          <a:pPr algn="l"/>
          <a:endParaRPr lang="es-CO" sz="2400">
            <a:latin typeface="Avenir Next LT Pro" panose="020B0504020202020204" pitchFamily="34" charset="0"/>
          </a:endParaRPr>
        </a:p>
      </dgm:t>
    </dgm:pt>
    <dgm:pt modelId="{082774F2-EC86-4649-82E1-15D087A0CC17}" type="sibTrans" cxnId="{252A9A7E-21D3-4A78-B402-5FBE1372587F}">
      <dgm:prSet/>
      <dgm:spPr/>
      <dgm:t>
        <a:bodyPr/>
        <a:lstStyle/>
        <a:p>
          <a:pPr algn="l"/>
          <a:endParaRPr lang="es-CO" sz="2400">
            <a:latin typeface="Avenir Next LT Pro" panose="020B0504020202020204" pitchFamily="34" charset="0"/>
          </a:endParaRPr>
        </a:p>
      </dgm:t>
    </dgm:pt>
    <dgm:pt modelId="{E9B53826-B56C-447F-A6D4-2694CAEDC878}">
      <dgm:prSet phldrT="[Texto]" custT="1"/>
      <dgm:spPr>
        <a:ln>
          <a:solidFill>
            <a:srgbClr val="EFECEA"/>
          </a:solidFill>
        </a:ln>
      </dgm:spPr>
      <dgm:t>
        <a:bodyPr/>
        <a:lstStyle/>
        <a:p>
          <a:pPr algn="l"/>
          <a:r>
            <a:rPr lang="es-CO" sz="1100" dirty="0">
              <a:latin typeface="Avenir Next LT Pro" panose="020B0504020202020204" pitchFamily="34" charset="0"/>
            </a:rPr>
            <a:t>Levante información sobre las remociones y/o los proyectos de compensación empleados. </a:t>
          </a:r>
        </a:p>
      </dgm:t>
    </dgm:pt>
    <dgm:pt modelId="{5F6CBCEE-B5CD-42A4-96F1-F552C4B810B0}" type="parTrans" cxnId="{BE41C810-6651-47D8-8B94-E24BFBDAA95F}">
      <dgm:prSet/>
      <dgm:spPr/>
      <dgm:t>
        <a:bodyPr/>
        <a:lstStyle/>
        <a:p>
          <a:pPr algn="l"/>
          <a:endParaRPr lang="es-CO" sz="2400">
            <a:latin typeface="Avenir Next LT Pro" panose="020B0504020202020204" pitchFamily="34" charset="0"/>
          </a:endParaRPr>
        </a:p>
      </dgm:t>
    </dgm:pt>
    <dgm:pt modelId="{8BF1C458-1390-4EDD-A75E-7C3DDEE2031B}" type="sibTrans" cxnId="{BE41C810-6651-47D8-8B94-E24BFBDAA95F}">
      <dgm:prSet/>
      <dgm:spPr/>
      <dgm:t>
        <a:bodyPr/>
        <a:lstStyle/>
        <a:p>
          <a:pPr algn="l"/>
          <a:endParaRPr lang="es-CO" sz="2400">
            <a:latin typeface="Avenir Next LT Pro" panose="020B0504020202020204" pitchFamily="34" charset="0"/>
          </a:endParaRPr>
        </a:p>
      </dgm:t>
    </dgm:pt>
    <dgm:pt modelId="{C3E87AFB-F036-48B2-9315-4CCC2253D4E0}">
      <dgm:prSet phldrT="[Texto]" custT="1"/>
      <dgm:spPr/>
      <dgm:t>
        <a:bodyPr/>
        <a:lstStyle/>
        <a:p>
          <a:pPr algn="l"/>
          <a:r>
            <a:rPr lang="es-CO" sz="1000" b="1" dirty="0">
              <a:latin typeface="Avenir Next LT Pro" panose="020B0504020202020204" pitchFamily="34" charset="0"/>
            </a:rPr>
            <a:t>Levantamiento de información de compensaciones usados</a:t>
          </a:r>
        </a:p>
      </dgm:t>
    </dgm:pt>
    <dgm:pt modelId="{AB800DE0-EFD6-4CA7-89CB-EAA7BA30CEF7}" type="parTrans" cxnId="{BC02B983-5D5E-401C-AB6C-386ADD6E030D}">
      <dgm:prSet/>
      <dgm:spPr/>
      <dgm:t>
        <a:bodyPr/>
        <a:lstStyle/>
        <a:p>
          <a:pPr algn="l"/>
          <a:endParaRPr lang="es-CO" sz="2400">
            <a:latin typeface="Avenir Next LT Pro" panose="020B0504020202020204" pitchFamily="34" charset="0"/>
          </a:endParaRPr>
        </a:p>
      </dgm:t>
    </dgm:pt>
    <dgm:pt modelId="{DD9F8425-1AB9-4096-9FC6-2A04F33D1240}" type="sibTrans" cxnId="{BC02B983-5D5E-401C-AB6C-386ADD6E030D}">
      <dgm:prSet/>
      <dgm:spPr/>
      <dgm:t>
        <a:bodyPr/>
        <a:lstStyle/>
        <a:p>
          <a:pPr algn="l"/>
          <a:endParaRPr lang="es-CO" sz="2400">
            <a:latin typeface="Avenir Next LT Pro" panose="020B0504020202020204" pitchFamily="34" charset="0"/>
          </a:endParaRPr>
        </a:p>
      </dgm:t>
    </dgm:pt>
    <dgm:pt modelId="{A4CFBCC2-D6C5-4A30-BDD9-DBF9D522B113}">
      <dgm:prSet phldrT="[Texto]" custT="1"/>
      <dgm:spPr/>
      <dgm:t>
        <a:bodyPr/>
        <a:lstStyle/>
        <a:p>
          <a:pPr algn="l"/>
          <a:r>
            <a:rPr lang="es-CO" sz="1000" b="1" dirty="0">
              <a:latin typeface="Avenir Next LT Pro" panose="020B0504020202020204" pitchFamily="34" charset="0"/>
            </a:rPr>
            <a:t>Completar la pestaña de REDUCCIONES </a:t>
          </a:r>
        </a:p>
      </dgm:t>
    </dgm:pt>
    <dgm:pt modelId="{3E611261-46FA-4AD5-9695-D7ACDF5CE159}" type="parTrans" cxnId="{E54CE1D6-8EFC-4099-B3AD-2065297C766A}">
      <dgm:prSet/>
      <dgm:spPr/>
      <dgm:t>
        <a:bodyPr/>
        <a:lstStyle/>
        <a:p>
          <a:pPr algn="l"/>
          <a:endParaRPr lang="es-CO" sz="2400">
            <a:latin typeface="Avenir Next LT Pro" panose="020B0504020202020204" pitchFamily="34" charset="0"/>
          </a:endParaRPr>
        </a:p>
      </dgm:t>
    </dgm:pt>
    <dgm:pt modelId="{8985FF02-86EA-4D5C-A090-E8E96AED23AE}" type="sibTrans" cxnId="{E54CE1D6-8EFC-4099-B3AD-2065297C766A}">
      <dgm:prSet/>
      <dgm:spPr/>
      <dgm:t>
        <a:bodyPr/>
        <a:lstStyle/>
        <a:p>
          <a:pPr algn="l"/>
          <a:endParaRPr lang="es-CO" sz="2400">
            <a:latin typeface="Avenir Next LT Pro" panose="020B0504020202020204" pitchFamily="34" charset="0"/>
          </a:endParaRPr>
        </a:p>
      </dgm:t>
    </dgm:pt>
    <dgm:pt modelId="{5D0F3868-F22C-4533-8CF7-8BC1C08A5D30}">
      <dgm:prSet phldrT="[Texto]" custT="1"/>
      <dgm:spPr>
        <a:ln>
          <a:solidFill>
            <a:srgbClr val="EFECEA"/>
          </a:solidFill>
        </a:ln>
      </dgm:spPr>
      <dgm:t>
        <a:bodyPr/>
        <a:lstStyle/>
        <a:p>
          <a:pPr algn="l"/>
          <a:r>
            <a:rPr lang="es-CO" sz="1100" dirty="0">
              <a:latin typeface="Avenir Next LT Pro" panose="020B0504020202020204" pitchFamily="34" charset="0"/>
            </a:rPr>
            <a:t>Identifique las acciones de mitigación implementados en el año de reporte.</a:t>
          </a:r>
        </a:p>
      </dgm:t>
    </dgm:pt>
    <dgm:pt modelId="{79A5ED1B-DA86-43E8-A069-C22BD39E7467}" type="parTrans" cxnId="{D39A078C-8FDB-4BEB-AF6B-405F20D39A65}">
      <dgm:prSet/>
      <dgm:spPr/>
      <dgm:t>
        <a:bodyPr/>
        <a:lstStyle/>
        <a:p>
          <a:endParaRPr lang="es-CO" sz="2400">
            <a:latin typeface="Avenir Next LT Pro" panose="020B0504020202020204" pitchFamily="34" charset="0"/>
          </a:endParaRPr>
        </a:p>
      </dgm:t>
    </dgm:pt>
    <dgm:pt modelId="{245D6CB6-FFC9-4B8A-B7A8-679DF9B3AA64}" type="sibTrans" cxnId="{D39A078C-8FDB-4BEB-AF6B-405F20D39A65}">
      <dgm:prSet/>
      <dgm:spPr/>
      <dgm:t>
        <a:bodyPr/>
        <a:lstStyle/>
        <a:p>
          <a:endParaRPr lang="es-CO" sz="2400">
            <a:latin typeface="Avenir Next LT Pro" panose="020B0504020202020204" pitchFamily="34" charset="0"/>
          </a:endParaRPr>
        </a:p>
      </dgm:t>
    </dgm:pt>
    <dgm:pt modelId="{0A504891-3EED-4092-A46C-5D62E2939B49}" type="pres">
      <dgm:prSet presAssocID="{B8BFD9FF-CE01-4902-9191-ACFE83A222D6}" presName="rootnode" presStyleCnt="0">
        <dgm:presLayoutVars>
          <dgm:chMax/>
          <dgm:chPref/>
          <dgm:dir/>
          <dgm:animLvl val="lvl"/>
        </dgm:presLayoutVars>
      </dgm:prSet>
      <dgm:spPr/>
    </dgm:pt>
    <dgm:pt modelId="{53D5EADE-C42C-46C8-B4E8-13283BA1F7D9}" type="pres">
      <dgm:prSet presAssocID="{6B2DE8F5-1FA0-4ABC-9E05-E66D6F0EA8DA}" presName="composite" presStyleCnt="0"/>
      <dgm:spPr/>
    </dgm:pt>
    <dgm:pt modelId="{0E7885BE-B784-4A79-8063-6D29A052C642}" type="pres">
      <dgm:prSet presAssocID="{6B2DE8F5-1FA0-4ABC-9E05-E66D6F0EA8DA}" presName="bentUpArrow1" presStyleLbl="alignImgPlace1" presStyleIdx="0" presStyleCnt="4" custLinFactNeighborX="-16456"/>
      <dgm:spPr/>
    </dgm:pt>
    <dgm:pt modelId="{4D2B7216-01DC-4BD1-B04C-9C69C194A568}" type="pres">
      <dgm:prSet presAssocID="{6B2DE8F5-1FA0-4ABC-9E05-E66D6F0EA8DA}" presName="ParentText" presStyleLbl="node1" presStyleIdx="0" presStyleCnt="5" custScaleX="159574" custScaleY="128756" custLinFactNeighborX="-46987">
        <dgm:presLayoutVars>
          <dgm:chMax val="1"/>
          <dgm:chPref val="1"/>
          <dgm:bulletEnabled val="1"/>
        </dgm:presLayoutVars>
      </dgm:prSet>
      <dgm:spPr/>
    </dgm:pt>
    <dgm:pt modelId="{CFC6C6F6-873C-4F6B-9327-738B0990C95B}" type="pres">
      <dgm:prSet presAssocID="{6B2DE8F5-1FA0-4ABC-9E05-E66D6F0EA8DA}" presName="ChildText" presStyleLbl="revTx" presStyleIdx="0" presStyleCnt="4" custScaleX="650966" custScaleY="110923" custLinFactX="100000" custLinFactNeighborX="178185" custLinFactNeighborY="6795">
        <dgm:presLayoutVars>
          <dgm:chMax val="0"/>
          <dgm:chPref val="0"/>
          <dgm:bulletEnabled val="1"/>
        </dgm:presLayoutVars>
      </dgm:prSet>
      <dgm:spPr/>
    </dgm:pt>
    <dgm:pt modelId="{0B32F818-87EA-4A7F-A9E6-8D418F6A644B}" type="pres">
      <dgm:prSet presAssocID="{28F0ED47-C484-4E32-AC0B-8F8BC96A3EE1}" presName="sibTrans" presStyleCnt="0"/>
      <dgm:spPr/>
    </dgm:pt>
    <dgm:pt modelId="{F8A8A4ED-EFCE-44E8-B59C-C6DD46F4FC26}" type="pres">
      <dgm:prSet presAssocID="{63AF0E0F-3AE8-4DAE-AE0B-84FC9F16F70C}" presName="composite" presStyleCnt="0"/>
      <dgm:spPr/>
    </dgm:pt>
    <dgm:pt modelId="{0B8D6A91-9A90-4F6B-8C9A-91D84380422D}" type="pres">
      <dgm:prSet presAssocID="{63AF0E0F-3AE8-4DAE-AE0B-84FC9F16F70C}" presName="bentUpArrow1" presStyleLbl="alignImgPlace1" presStyleIdx="1" presStyleCnt="4" custLinFactNeighborX="-88310" custLinFactNeighborY="4978"/>
      <dgm:spPr/>
    </dgm:pt>
    <dgm:pt modelId="{33475939-2E79-4E9A-8104-DF17984D3A98}" type="pres">
      <dgm:prSet presAssocID="{63AF0E0F-3AE8-4DAE-AE0B-84FC9F16F70C}" presName="ParentText" presStyleLbl="node1" presStyleIdx="1" presStyleCnt="5" custScaleX="169161" custScaleY="129165" custLinFactNeighborX="-87703" custLinFactNeighborY="4225">
        <dgm:presLayoutVars>
          <dgm:chMax val="1"/>
          <dgm:chPref val="1"/>
          <dgm:bulletEnabled val="1"/>
        </dgm:presLayoutVars>
      </dgm:prSet>
      <dgm:spPr/>
    </dgm:pt>
    <dgm:pt modelId="{3DF63D40-31C5-467F-B4B4-69CC917140B3}" type="pres">
      <dgm:prSet presAssocID="{63AF0E0F-3AE8-4DAE-AE0B-84FC9F16F70C}" presName="ChildText" presStyleLbl="revTx" presStyleIdx="1" presStyleCnt="4" custScaleX="550696" custScaleY="125726" custLinFactX="95748" custLinFactNeighborX="100000" custLinFactNeighborY="-6000">
        <dgm:presLayoutVars>
          <dgm:chMax val="0"/>
          <dgm:chPref val="0"/>
          <dgm:bulletEnabled val="1"/>
        </dgm:presLayoutVars>
      </dgm:prSet>
      <dgm:spPr/>
    </dgm:pt>
    <dgm:pt modelId="{C3CB30CC-D1BF-4F03-8ACF-5D22B1B32D14}" type="pres">
      <dgm:prSet presAssocID="{3D3909F4-A389-4359-B9BE-63B1283FC0A1}" presName="sibTrans" presStyleCnt="0"/>
      <dgm:spPr/>
    </dgm:pt>
    <dgm:pt modelId="{EED3D06B-8142-4EFA-9C95-B8BF6ECC8D68}" type="pres">
      <dgm:prSet presAssocID="{9397DA26-CEFF-4022-9C92-721B6CEFA0BC}" presName="composite" presStyleCnt="0"/>
      <dgm:spPr/>
    </dgm:pt>
    <dgm:pt modelId="{0DA851C5-895D-4DDA-B718-5B83BF5E2A13}" type="pres">
      <dgm:prSet presAssocID="{9397DA26-CEFF-4022-9C92-721B6CEFA0BC}" presName="bentUpArrow1" presStyleLbl="alignImgPlace1" presStyleIdx="2" presStyleCnt="4" custScaleX="162148" custLinFactX="-85467" custLinFactNeighborX="-100000" custLinFactNeighborY="-1807"/>
      <dgm:spPr/>
    </dgm:pt>
    <dgm:pt modelId="{65DAA22A-E297-4895-9749-B1CCA6D0D05C}" type="pres">
      <dgm:prSet presAssocID="{9397DA26-CEFF-4022-9C92-721B6CEFA0BC}" presName="ParentText" presStyleLbl="node1" presStyleIdx="2" presStyleCnt="5" custScaleX="153750" custScaleY="133917" custLinFactX="-73501" custLinFactNeighborX="-100000" custLinFactNeighborY="-907">
        <dgm:presLayoutVars>
          <dgm:chMax val="1"/>
          <dgm:chPref val="1"/>
          <dgm:bulletEnabled val="1"/>
        </dgm:presLayoutVars>
      </dgm:prSet>
      <dgm:spPr/>
    </dgm:pt>
    <dgm:pt modelId="{100F53C7-D896-42A0-A9C5-5FBCAE795958}" type="pres">
      <dgm:prSet presAssocID="{9397DA26-CEFF-4022-9C92-721B6CEFA0BC}" presName="ChildText" presStyleLbl="revTx" presStyleIdx="2" presStyleCnt="4" custScaleX="537825" custScaleY="108861" custLinFactNeighborX="86328" custLinFactNeighborY="-10880">
        <dgm:presLayoutVars>
          <dgm:chMax val="0"/>
          <dgm:chPref val="0"/>
          <dgm:bulletEnabled val="1"/>
        </dgm:presLayoutVars>
      </dgm:prSet>
      <dgm:spPr/>
    </dgm:pt>
    <dgm:pt modelId="{D237F5CE-448C-4E78-B07E-B780B5B2EA27}" type="pres">
      <dgm:prSet presAssocID="{082774F2-EC86-4649-82E1-15D087A0CC17}" presName="sibTrans" presStyleCnt="0"/>
      <dgm:spPr/>
    </dgm:pt>
    <dgm:pt modelId="{DA5E1978-0A5D-41A1-80AA-13545389D2FF}" type="pres">
      <dgm:prSet presAssocID="{C3E87AFB-F036-48B2-9315-4CCC2253D4E0}" presName="composite" presStyleCnt="0"/>
      <dgm:spPr/>
    </dgm:pt>
    <dgm:pt modelId="{B119A5A8-E654-4653-B2E3-84958CB25550}" type="pres">
      <dgm:prSet presAssocID="{C3E87AFB-F036-48B2-9315-4CCC2253D4E0}" presName="bentUpArrow1" presStyleLbl="alignImgPlace1" presStyleIdx="3" presStyleCnt="4" custLinFactX="-100000" custLinFactNeighborX="-136562" custLinFactNeighborY="7230"/>
      <dgm:spPr/>
    </dgm:pt>
    <dgm:pt modelId="{E0E0F27B-B4D0-4E2D-B47F-9880F55D4B17}" type="pres">
      <dgm:prSet presAssocID="{C3E87AFB-F036-48B2-9315-4CCC2253D4E0}" presName="ParentText" presStyleLbl="node1" presStyleIdx="3" presStyleCnt="5" custScaleX="182252" custScaleY="123400" custLinFactX="-100000" custLinFactNeighborX="-107559" custLinFactNeighborY="4602">
        <dgm:presLayoutVars>
          <dgm:chMax val="1"/>
          <dgm:chPref val="1"/>
          <dgm:bulletEnabled val="1"/>
        </dgm:presLayoutVars>
      </dgm:prSet>
      <dgm:spPr/>
    </dgm:pt>
    <dgm:pt modelId="{2FE27063-B36B-4D1B-BCE7-25DBA02F5A3C}" type="pres">
      <dgm:prSet presAssocID="{C3E87AFB-F036-48B2-9315-4CCC2253D4E0}" presName="ChildText" presStyleLbl="revTx" presStyleIdx="3" presStyleCnt="4">
        <dgm:presLayoutVars>
          <dgm:chMax val="0"/>
          <dgm:chPref val="0"/>
          <dgm:bulletEnabled val="1"/>
        </dgm:presLayoutVars>
      </dgm:prSet>
      <dgm:spPr/>
    </dgm:pt>
    <dgm:pt modelId="{1771CC7C-3862-4D7F-BBC9-0D940E26E107}" type="pres">
      <dgm:prSet presAssocID="{DD9F8425-1AB9-4096-9FC6-2A04F33D1240}" presName="sibTrans" presStyleCnt="0"/>
      <dgm:spPr/>
    </dgm:pt>
    <dgm:pt modelId="{C22A2442-61DC-4385-BFE6-0AFA104CC05B}" type="pres">
      <dgm:prSet presAssocID="{A4CFBCC2-D6C5-4A30-BDD9-DBF9D522B113}" presName="composite" presStyleCnt="0"/>
      <dgm:spPr/>
    </dgm:pt>
    <dgm:pt modelId="{5E8D2394-5CCA-4C78-9D12-A3F7F661926B}" type="pres">
      <dgm:prSet presAssocID="{A4CFBCC2-D6C5-4A30-BDD9-DBF9D522B113}" presName="ParentText" presStyleLbl="node1" presStyleIdx="4" presStyleCnt="5" custScaleX="170225" custScaleY="120021" custLinFactX="-100000" custLinFactNeighborX="-163732" custLinFactNeighborY="1534">
        <dgm:presLayoutVars>
          <dgm:chMax val="1"/>
          <dgm:chPref val="1"/>
          <dgm:bulletEnabled val="1"/>
        </dgm:presLayoutVars>
      </dgm:prSet>
      <dgm:spPr/>
    </dgm:pt>
  </dgm:ptLst>
  <dgm:cxnLst>
    <dgm:cxn modelId="{BE41C810-6651-47D8-8B94-E24BFBDAA95F}" srcId="{9397DA26-CEFF-4022-9C92-721B6CEFA0BC}" destId="{E9B53826-B56C-447F-A6D4-2694CAEDC878}" srcOrd="0" destOrd="0" parTransId="{5F6CBCEE-B5CD-42A4-96F1-F552C4B810B0}" sibTransId="{8BF1C458-1390-4EDD-A75E-7C3DDEE2031B}"/>
    <dgm:cxn modelId="{21051B1E-57C3-4A35-BF95-368872C4717A}" type="presOf" srcId="{A4CFBCC2-D6C5-4A30-BDD9-DBF9D522B113}" destId="{5E8D2394-5CCA-4C78-9D12-A3F7F661926B}" srcOrd="0" destOrd="0" presId="urn:microsoft.com/office/officeart/2005/8/layout/StepDownProcess#2"/>
    <dgm:cxn modelId="{CE041232-55EA-422E-84AF-2F5F79EF9D58}" type="presOf" srcId="{548BDF2B-B3B0-4DC0-A6AC-0837554832DA}" destId="{3DF63D40-31C5-467F-B4B4-69CC917140B3}" srcOrd="0" destOrd="0" presId="urn:microsoft.com/office/officeart/2005/8/layout/StepDownProcess#2"/>
    <dgm:cxn modelId="{D582FF3B-611E-4784-BBE2-BC111D129D78}" type="presOf" srcId="{6B2DE8F5-1FA0-4ABC-9E05-E66D6F0EA8DA}" destId="{4D2B7216-01DC-4BD1-B04C-9C69C194A568}" srcOrd="0" destOrd="0" presId="urn:microsoft.com/office/officeart/2005/8/layout/StepDownProcess#2"/>
    <dgm:cxn modelId="{F4333445-5683-495E-A7A8-C05846595826}" type="presOf" srcId="{B8BFD9FF-CE01-4902-9191-ACFE83A222D6}" destId="{0A504891-3EED-4092-A46C-5D62E2939B49}" srcOrd="0" destOrd="0" presId="urn:microsoft.com/office/officeart/2005/8/layout/StepDownProcess#2"/>
    <dgm:cxn modelId="{252A9A7E-21D3-4A78-B402-5FBE1372587F}" srcId="{B8BFD9FF-CE01-4902-9191-ACFE83A222D6}" destId="{9397DA26-CEFF-4022-9C92-721B6CEFA0BC}" srcOrd="2" destOrd="0" parTransId="{A3AF1C58-222C-4E6B-9B5F-500F2B5CA3F5}" sibTransId="{082774F2-EC86-4649-82E1-15D087A0CC17}"/>
    <dgm:cxn modelId="{BC02B983-5D5E-401C-AB6C-386ADD6E030D}" srcId="{B8BFD9FF-CE01-4902-9191-ACFE83A222D6}" destId="{C3E87AFB-F036-48B2-9315-4CCC2253D4E0}" srcOrd="3" destOrd="0" parTransId="{AB800DE0-EFD6-4CA7-89CB-EAA7BA30CEF7}" sibTransId="{DD9F8425-1AB9-4096-9FC6-2A04F33D1240}"/>
    <dgm:cxn modelId="{45FC9D86-02C0-4F8C-8DCE-6CE9DC4F5BC0}" type="presOf" srcId="{9397DA26-CEFF-4022-9C92-721B6CEFA0BC}" destId="{65DAA22A-E297-4895-9749-B1CCA6D0D05C}" srcOrd="0" destOrd="0" presId="urn:microsoft.com/office/officeart/2005/8/layout/StepDownProcess#2"/>
    <dgm:cxn modelId="{D39A078C-8FDB-4BEB-AF6B-405F20D39A65}" srcId="{6B2DE8F5-1FA0-4ABC-9E05-E66D6F0EA8DA}" destId="{5D0F3868-F22C-4533-8CF7-8BC1C08A5D30}" srcOrd="0" destOrd="0" parTransId="{79A5ED1B-DA86-43E8-A069-C22BD39E7467}" sibTransId="{245D6CB6-FFC9-4B8A-B7A8-679DF9B3AA64}"/>
    <dgm:cxn modelId="{0FC3D294-7697-405A-92F1-BC5A4956BCF7}" type="presOf" srcId="{C3E87AFB-F036-48B2-9315-4CCC2253D4E0}" destId="{E0E0F27B-B4D0-4E2D-B47F-9880F55D4B17}" srcOrd="0" destOrd="0" presId="urn:microsoft.com/office/officeart/2005/8/layout/StepDownProcess#2"/>
    <dgm:cxn modelId="{D6550B9D-00D1-41A1-8F93-5D39EF344D42}" type="presOf" srcId="{E9B53826-B56C-447F-A6D4-2694CAEDC878}" destId="{100F53C7-D896-42A0-A9C5-5FBCAE795958}" srcOrd="0" destOrd="0" presId="urn:microsoft.com/office/officeart/2005/8/layout/StepDownProcess#2"/>
    <dgm:cxn modelId="{B2F3EEA1-A142-472F-B0DB-E55B20175D68}" srcId="{B8BFD9FF-CE01-4902-9191-ACFE83A222D6}" destId="{63AF0E0F-3AE8-4DAE-AE0B-84FC9F16F70C}" srcOrd="1" destOrd="0" parTransId="{E69C34D5-0909-47D2-B9E6-1FAD101EB5FA}" sibTransId="{3D3909F4-A389-4359-B9BE-63B1283FC0A1}"/>
    <dgm:cxn modelId="{258940A8-3D88-4906-BD2F-9BA6B4210C49}" srcId="{B8BFD9FF-CE01-4902-9191-ACFE83A222D6}" destId="{6B2DE8F5-1FA0-4ABC-9E05-E66D6F0EA8DA}" srcOrd="0" destOrd="0" parTransId="{E3D42CCF-3851-4F82-8F6F-05F6F255AD66}" sibTransId="{28F0ED47-C484-4E32-AC0B-8F8BC96A3EE1}"/>
    <dgm:cxn modelId="{358862B7-3A2A-46D2-BC7E-59F93C248FAD}" type="presOf" srcId="{5D0F3868-F22C-4533-8CF7-8BC1C08A5D30}" destId="{CFC6C6F6-873C-4F6B-9327-738B0990C95B}" srcOrd="0" destOrd="0" presId="urn:microsoft.com/office/officeart/2005/8/layout/StepDownProcess#2"/>
    <dgm:cxn modelId="{E54CE1D6-8EFC-4099-B3AD-2065297C766A}" srcId="{B8BFD9FF-CE01-4902-9191-ACFE83A222D6}" destId="{A4CFBCC2-D6C5-4A30-BDD9-DBF9D522B113}" srcOrd="4" destOrd="0" parTransId="{3E611261-46FA-4AD5-9695-D7ACDF5CE159}" sibTransId="{8985FF02-86EA-4D5C-A090-E8E96AED23AE}"/>
    <dgm:cxn modelId="{317902E1-D271-49A1-8911-EC504BAA9739}" srcId="{63AF0E0F-3AE8-4DAE-AE0B-84FC9F16F70C}" destId="{548BDF2B-B3B0-4DC0-A6AC-0837554832DA}" srcOrd="0" destOrd="0" parTransId="{2CC4523E-75BE-498F-81CC-775F96F1264A}" sibTransId="{A3AB3A1D-52A5-408A-BD65-08CF423C89C4}"/>
    <dgm:cxn modelId="{F6C097E7-9F9C-41FC-8FCB-641F37F5FECF}" type="presOf" srcId="{63AF0E0F-3AE8-4DAE-AE0B-84FC9F16F70C}" destId="{33475939-2E79-4E9A-8104-DF17984D3A98}" srcOrd="0" destOrd="0" presId="urn:microsoft.com/office/officeart/2005/8/layout/StepDownProcess#2"/>
    <dgm:cxn modelId="{8708B5EA-71B1-4440-987B-269542A1CAF3}" type="presParOf" srcId="{0A504891-3EED-4092-A46C-5D62E2939B49}" destId="{53D5EADE-C42C-46C8-B4E8-13283BA1F7D9}" srcOrd="0" destOrd="0" presId="urn:microsoft.com/office/officeart/2005/8/layout/StepDownProcess#2"/>
    <dgm:cxn modelId="{061AACF7-98B4-4E06-AB7A-D048513A72F4}" type="presParOf" srcId="{53D5EADE-C42C-46C8-B4E8-13283BA1F7D9}" destId="{0E7885BE-B784-4A79-8063-6D29A052C642}" srcOrd="0" destOrd="0" presId="urn:microsoft.com/office/officeart/2005/8/layout/StepDownProcess#2"/>
    <dgm:cxn modelId="{49F34FFA-D8E1-42DC-B041-FE785148C209}" type="presParOf" srcId="{53D5EADE-C42C-46C8-B4E8-13283BA1F7D9}" destId="{4D2B7216-01DC-4BD1-B04C-9C69C194A568}" srcOrd="1" destOrd="0" presId="urn:microsoft.com/office/officeart/2005/8/layout/StepDownProcess#2"/>
    <dgm:cxn modelId="{5841730A-282C-4AED-8534-F5D80E3795CC}" type="presParOf" srcId="{53D5EADE-C42C-46C8-B4E8-13283BA1F7D9}" destId="{CFC6C6F6-873C-4F6B-9327-738B0990C95B}" srcOrd="2" destOrd="0" presId="urn:microsoft.com/office/officeart/2005/8/layout/StepDownProcess#2"/>
    <dgm:cxn modelId="{536585BB-5154-4162-AE5A-A7E2A6917E00}" type="presParOf" srcId="{0A504891-3EED-4092-A46C-5D62E2939B49}" destId="{0B32F818-87EA-4A7F-A9E6-8D418F6A644B}" srcOrd="1" destOrd="0" presId="urn:microsoft.com/office/officeart/2005/8/layout/StepDownProcess#2"/>
    <dgm:cxn modelId="{D4F3BD3D-245A-49DF-8A16-51BCC7B0AF1F}" type="presParOf" srcId="{0A504891-3EED-4092-A46C-5D62E2939B49}" destId="{F8A8A4ED-EFCE-44E8-B59C-C6DD46F4FC26}" srcOrd="2" destOrd="0" presId="urn:microsoft.com/office/officeart/2005/8/layout/StepDownProcess#2"/>
    <dgm:cxn modelId="{0A63FFF2-544C-455A-A70C-613AEE3A2361}" type="presParOf" srcId="{F8A8A4ED-EFCE-44E8-B59C-C6DD46F4FC26}" destId="{0B8D6A91-9A90-4F6B-8C9A-91D84380422D}" srcOrd="0" destOrd="0" presId="urn:microsoft.com/office/officeart/2005/8/layout/StepDownProcess#2"/>
    <dgm:cxn modelId="{DDB1AADC-BBD1-494A-B461-56DBBAF69315}" type="presParOf" srcId="{F8A8A4ED-EFCE-44E8-B59C-C6DD46F4FC26}" destId="{33475939-2E79-4E9A-8104-DF17984D3A98}" srcOrd="1" destOrd="0" presId="urn:microsoft.com/office/officeart/2005/8/layout/StepDownProcess#2"/>
    <dgm:cxn modelId="{13321E58-F181-4EF4-881F-6A2D0D655EC2}" type="presParOf" srcId="{F8A8A4ED-EFCE-44E8-B59C-C6DD46F4FC26}" destId="{3DF63D40-31C5-467F-B4B4-69CC917140B3}" srcOrd="2" destOrd="0" presId="urn:microsoft.com/office/officeart/2005/8/layout/StepDownProcess#2"/>
    <dgm:cxn modelId="{1D4AE015-27D9-4C70-B8EC-062956DA6D1B}" type="presParOf" srcId="{0A504891-3EED-4092-A46C-5D62E2939B49}" destId="{C3CB30CC-D1BF-4F03-8ACF-5D22B1B32D14}" srcOrd="3" destOrd="0" presId="urn:microsoft.com/office/officeart/2005/8/layout/StepDownProcess#2"/>
    <dgm:cxn modelId="{0E037DFB-9738-42CC-B31E-73E8D3A9C956}" type="presParOf" srcId="{0A504891-3EED-4092-A46C-5D62E2939B49}" destId="{EED3D06B-8142-4EFA-9C95-B8BF6ECC8D68}" srcOrd="4" destOrd="0" presId="urn:microsoft.com/office/officeart/2005/8/layout/StepDownProcess#2"/>
    <dgm:cxn modelId="{CF6D471F-7016-4696-AA75-08051B4D0017}" type="presParOf" srcId="{EED3D06B-8142-4EFA-9C95-B8BF6ECC8D68}" destId="{0DA851C5-895D-4DDA-B718-5B83BF5E2A13}" srcOrd="0" destOrd="0" presId="urn:microsoft.com/office/officeart/2005/8/layout/StepDownProcess#2"/>
    <dgm:cxn modelId="{D8893860-EB77-4E5A-B25A-D96A8468AB07}" type="presParOf" srcId="{EED3D06B-8142-4EFA-9C95-B8BF6ECC8D68}" destId="{65DAA22A-E297-4895-9749-B1CCA6D0D05C}" srcOrd="1" destOrd="0" presId="urn:microsoft.com/office/officeart/2005/8/layout/StepDownProcess#2"/>
    <dgm:cxn modelId="{1424071B-F0BF-4709-84D3-286F503D4D37}" type="presParOf" srcId="{EED3D06B-8142-4EFA-9C95-B8BF6ECC8D68}" destId="{100F53C7-D896-42A0-A9C5-5FBCAE795958}" srcOrd="2" destOrd="0" presId="urn:microsoft.com/office/officeart/2005/8/layout/StepDownProcess#2"/>
    <dgm:cxn modelId="{A44AC204-74C6-4660-A09C-00E0A68698DA}" type="presParOf" srcId="{0A504891-3EED-4092-A46C-5D62E2939B49}" destId="{D237F5CE-448C-4E78-B07E-B780B5B2EA27}" srcOrd="5" destOrd="0" presId="urn:microsoft.com/office/officeart/2005/8/layout/StepDownProcess#2"/>
    <dgm:cxn modelId="{FA32B690-465E-4B4F-87E1-9DB3EE3B023F}" type="presParOf" srcId="{0A504891-3EED-4092-A46C-5D62E2939B49}" destId="{DA5E1978-0A5D-41A1-80AA-13545389D2FF}" srcOrd="6" destOrd="0" presId="urn:microsoft.com/office/officeart/2005/8/layout/StepDownProcess#2"/>
    <dgm:cxn modelId="{F457B587-BD5E-4721-88CC-1BF0A96240C1}" type="presParOf" srcId="{DA5E1978-0A5D-41A1-80AA-13545389D2FF}" destId="{B119A5A8-E654-4653-B2E3-84958CB25550}" srcOrd="0" destOrd="0" presId="urn:microsoft.com/office/officeart/2005/8/layout/StepDownProcess#2"/>
    <dgm:cxn modelId="{97CE09B2-4D87-4612-BF92-9C0F6E073CF8}" type="presParOf" srcId="{DA5E1978-0A5D-41A1-80AA-13545389D2FF}" destId="{E0E0F27B-B4D0-4E2D-B47F-9880F55D4B17}" srcOrd="1" destOrd="0" presId="urn:microsoft.com/office/officeart/2005/8/layout/StepDownProcess#2"/>
    <dgm:cxn modelId="{C031D4F0-1C79-4AC1-8736-25E1A2A509F7}" type="presParOf" srcId="{DA5E1978-0A5D-41A1-80AA-13545389D2FF}" destId="{2FE27063-B36B-4D1B-BCE7-25DBA02F5A3C}" srcOrd="2" destOrd="0" presId="urn:microsoft.com/office/officeart/2005/8/layout/StepDownProcess#2"/>
    <dgm:cxn modelId="{34797CBB-421F-43F2-9EC9-8A17A63D2823}" type="presParOf" srcId="{0A504891-3EED-4092-A46C-5D62E2939B49}" destId="{1771CC7C-3862-4D7F-BBC9-0D940E26E107}" srcOrd="7" destOrd="0" presId="urn:microsoft.com/office/officeart/2005/8/layout/StepDownProcess#2"/>
    <dgm:cxn modelId="{DC1F7455-77CA-485A-B4FC-7BA881B4DFFC}" type="presParOf" srcId="{0A504891-3EED-4092-A46C-5D62E2939B49}" destId="{C22A2442-61DC-4385-BFE6-0AFA104CC05B}" srcOrd="8" destOrd="0" presId="urn:microsoft.com/office/officeart/2005/8/layout/StepDownProcess#2"/>
    <dgm:cxn modelId="{CB361343-9525-4758-8FAC-2712E20CC8C3}" type="presParOf" srcId="{C22A2442-61DC-4385-BFE6-0AFA104CC05B}" destId="{5E8D2394-5CCA-4C78-9D12-A3F7F661926B}" srcOrd="0" destOrd="0" presId="urn:microsoft.com/office/officeart/2005/8/layout/StepDownProcess#2"/>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E7885BE-B784-4A79-8063-6D29A052C642}">
      <dsp:nvSpPr>
        <dsp:cNvPr id="0" name=""/>
        <dsp:cNvSpPr/>
      </dsp:nvSpPr>
      <dsp:spPr>
        <a:xfrm rot="5400000">
          <a:off x="1220969" y="800892"/>
          <a:ext cx="688510" cy="783844"/>
        </a:xfrm>
        <a:prstGeom prst="bentUpArrow">
          <a:avLst>
            <a:gd name="adj1" fmla="val 32840"/>
            <a:gd name="adj2" fmla="val 25000"/>
            <a:gd name="adj3" fmla="val 35780"/>
          </a:avLst>
        </a:prstGeom>
        <a:solidFill>
          <a:schemeClr val="accent5">
            <a:tint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4D2B7216-01DC-4BD1-B04C-9C69C194A568}">
      <dsp:nvSpPr>
        <dsp:cNvPr id="0" name=""/>
        <dsp:cNvSpPr/>
      </dsp:nvSpPr>
      <dsp:spPr>
        <a:xfrm>
          <a:off x="799791" y="31369"/>
          <a:ext cx="1401263" cy="823886"/>
        </a:xfrm>
        <a:prstGeom prst="roundRect">
          <a:avLst>
            <a:gd name="adj" fmla="val 16670"/>
          </a:avLst>
        </a:prstGeom>
        <a:solidFill>
          <a:schemeClr val="accent5">
            <a:shade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Definición de limites organizacionales y operacionales e identificación de Fuentes de GEI</a:t>
          </a:r>
        </a:p>
      </dsp:txBody>
      <dsp:txXfrm>
        <a:off x="840017" y="71595"/>
        <a:ext cx="1320811" cy="743434"/>
      </dsp:txXfrm>
    </dsp:sp>
    <dsp:sp modelId="{CFC6C6F6-873C-4F6B-9327-738B0990C95B}">
      <dsp:nvSpPr>
        <dsp:cNvPr id="0" name=""/>
        <dsp:cNvSpPr/>
      </dsp:nvSpPr>
      <dsp:spPr>
        <a:xfrm>
          <a:off x="2349368" y="123784"/>
          <a:ext cx="5487512" cy="727349"/>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Definir los limites organizacionales y operacionales de acuerdo a los lineamientos del Estándar Técnico de RTH Corporativo - Carbono.</a:t>
          </a:r>
        </a:p>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Identificar las fuentes de emisiones relacionadas con la generación directa o indirecta de GEI.</a:t>
          </a:r>
        </a:p>
      </dsp:txBody>
      <dsp:txXfrm>
        <a:off x="2349368" y="123784"/>
        <a:ext cx="5487512" cy="727349"/>
      </dsp:txXfrm>
    </dsp:sp>
    <dsp:sp modelId="{0B8D6A91-9A90-4F6B-8C9A-91D84380422D}">
      <dsp:nvSpPr>
        <dsp:cNvPr id="0" name=""/>
        <dsp:cNvSpPr/>
      </dsp:nvSpPr>
      <dsp:spPr>
        <a:xfrm rot="5400000">
          <a:off x="3085935" y="1719214"/>
          <a:ext cx="688510" cy="783844"/>
        </a:xfrm>
        <a:prstGeom prst="bentUpArrow">
          <a:avLst>
            <a:gd name="adj1" fmla="val 32840"/>
            <a:gd name="adj2" fmla="val 25000"/>
            <a:gd name="adj3" fmla="val 35780"/>
          </a:avLst>
        </a:prstGeom>
        <a:solidFill>
          <a:schemeClr val="accent5">
            <a:tint val="50000"/>
            <a:hueOff val="-4262"/>
            <a:satOff val="203"/>
            <a:lumOff val="-68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33475939-2E79-4E9A-8104-DF17984D3A98}">
      <dsp:nvSpPr>
        <dsp:cNvPr id="0" name=""/>
        <dsp:cNvSpPr/>
      </dsp:nvSpPr>
      <dsp:spPr>
        <a:xfrm>
          <a:off x="2458107" y="949691"/>
          <a:ext cx="1401263" cy="823886"/>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Clasificación y selección de las datos de actividad</a:t>
          </a:r>
        </a:p>
      </dsp:txBody>
      <dsp:txXfrm>
        <a:off x="2498333" y="989917"/>
        <a:ext cx="1320811" cy="743434"/>
      </dsp:txXfrm>
    </dsp:sp>
    <dsp:sp modelId="{3DF63D40-31C5-467F-B4B4-69CC917140B3}">
      <dsp:nvSpPr>
        <dsp:cNvPr id="0" name=""/>
        <dsp:cNvSpPr/>
      </dsp:nvSpPr>
      <dsp:spPr>
        <a:xfrm>
          <a:off x="3970534" y="943947"/>
          <a:ext cx="4184712" cy="824415"/>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Seleccionar los datos de actividad asociados a las fuentes identificadas para la organización.</a:t>
          </a:r>
        </a:p>
      </dsp:txBody>
      <dsp:txXfrm>
        <a:off x="3970534" y="943947"/>
        <a:ext cx="4184712" cy="824415"/>
      </dsp:txXfrm>
    </dsp:sp>
    <dsp:sp modelId="{0DA851C5-895D-4DDA-B718-5B83BF5E2A13}">
      <dsp:nvSpPr>
        <dsp:cNvPr id="0" name=""/>
        <dsp:cNvSpPr/>
      </dsp:nvSpPr>
      <dsp:spPr>
        <a:xfrm rot="5400000">
          <a:off x="4687319" y="2434646"/>
          <a:ext cx="688510" cy="1270988"/>
        </a:xfrm>
        <a:prstGeom prst="bentUpArrow">
          <a:avLst>
            <a:gd name="adj1" fmla="val 32840"/>
            <a:gd name="adj2" fmla="val 25000"/>
            <a:gd name="adj3" fmla="val 35780"/>
          </a:avLst>
        </a:prstGeom>
        <a:solidFill>
          <a:schemeClr val="accent5">
            <a:tint val="50000"/>
            <a:hueOff val="-8524"/>
            <a:satOff val="405"/>
            <a:lumOff val="-137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65DAA22A-E297-4895-9749-B1CCA6D0D05C}">
      <dsp:nvSpPr>
        <dsp:cNvPr id="0" name=""/>
        <dsp:cNvSpPr/>
      </dsp:nvSpPr>
      <dsp:spPr>
        <a:xfrm>
          <a:off x="3841599" y="1883801"/>
          <a:ext cx="1401263" cy="823886"/>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Caracterización de la información recibida</a:t>
          </a:r>
        </a:p>
      </dsp:txBody>
      <dsp:txXfrm>
        <a:off x="3881825" y="1924027"/>
        <a:ext cx="1320811" cy="743434"/>
      </dsp:txXfrm>
    </dsp:sp>
    <dsp:sp modelId="{100F53C7-D896-42A0-A9C5-5FBCAE795958}">
      <dsp:nvSpPr>
        <dsp:cNvPr id="0" name=""/>
        <dsp:cNvSpPr/>
      </dsp:nvSpPr>
      <dsp:spPr>
        <a:xfrm>
          <a:off x="5451655" y="1853122"/>
          <a:ext cx="4533756" cy="930662"/>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Identificar aspectos relacionados con el flujo de la información como: origen, responsables de registro, reporte, soportes, revisiones, y acciones de mejoras implementadas para garantizar el funcionamiento del sistema.</a:t>
          </a:r>
        </a:p>
      </dsp:txBody>
      <dsp:txXfrm>
        <a:off x="5451655" y="1853122"/>
        <a:ext cx="4533756" cy="930662"/>
      </dsp:txXfrm>
    </dsp:sp>
    <dsp:sp modelId="{B119A5A8-E654-4653-B2E3-84958CB25550}">
      <dsp:nvSpPr>
        <dsp:cNvPr id="0" name=""/>
        <dsp:cNvSpPr/>
      </dsp:nvSpPr>
      <dsp:spPr>
        <a:xfrm rot="5400000">
          <a:off x="6460033" y="3658086"/>
          <a:ext cx="688510" cy="783844"/>
        </a:xfrm>
        <a:prstGeom prst="bentUpArrow">
          <a:avLst>
            <a:gd name="adj1" fmla="val 32840"/>
            <a:gd name="adj2" fmla="val 25000"/>
            <a:gd name="adj3" fmla="val 35780"/>
          </a:avLst>
        </a:prstGeom>
        <a:solidFill>
          <a:schemeClr val="accent5">
            <a:tint val="50000"/>
            <a:hueOff val="-12785"/>
            <a:satOff val="608"/>
            <a:lumOff val="-206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E0E0F27B-B4D0-4E2D-B47F-9880F55D4B17}">
      <dsp:nvSpPr>
        <dsp:cNvPr id="0" name=""/>
        <dsp:cNvSpPr/>
      </dsp:nvSpPr>
      <dsp:spPr>
        <a:xfrm>
          <a:off x="5500638" y="2876120"/>
          <a:ext cx="1610158" cy="823886"/>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Consolidación de información  para el reporte de Huella de Carbono </a:t>
          </a:r>
        </a:p>
      </dsp:txBody>
      <dsp:txXfrm>
        <a:off x="5540864" y="2916346"/>
        <a:ext cx="1529706" cy="743434"/>
      </dsp:txXfrm>
    </dsp:sp>
    <dsp:sp modelId="{2FE27063-B36B-4D1B-BCE7-25DBA02F5A3C}">
      <dsp:nvSpPr>
        <dsp:cNvPr id="0" name=""/>
        <dsp:cNvSpPr/>
      </dsp:nvSpPr>
      <dsp:spPr>
        <a:xfrm>
          <a:off x="9290945" y="2922455"/>
          <a:ext cx="842979" cy="655724"/>
        </a:xfrm>
        <a:prstGeom prst="rect">
          <a:avLst/>
        </a:prstGeom>
        <a:noFill/>
        <a:ln>
          <a:noFill/>
        </a:ln>
        <a:effectLst/>
      </dsp:spPr>
      <dsp:style>
        <a:lnRef idx="0">
          <a:scrgbClr r="0" g="0" b="0"/>
        </a:lnRef>
        <a:fillRef idx="0">
          <a:scrgbClr r="0" g="0" b="0"/>
        </a:fillRef>
        <a:effectRef idx="0">
          <a:scrgbClr r="0" g="0" b="0"/>
        </a:effectRef>
        <a:fontRef idx="minor"/>
      </dsp:style>
    </dsp:sp>
    <dsp:sp modelId="{5E8D2394-5CCA-4C78-9D12-A3F7F661926B}">
      <dsp:nvSpPr>
        <dsp:cNvPr id="0" name=""/>
        <dsp:cNvSpPr/>
      </dsp:nvSpPr>
      <dsp:spPr>
        <a:xfrm>
          <a:off x="7084397" y="3768877"/>
          <a:ext cx="1401263" cy="823886"/>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Completar la  pestaña de EMISIONES </a:t>
          </a:r>
        </a:p>
      </dsp:txBody>
      <dsp:txXfrm>
        <a:off x="7124623" y="3809103"/>
        <a:ext cx="1320811" cy="743434"/>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E7885BE-B784-4A79-8063-6D29A052C642}">
      <dsp:nvSpPr>
        <dsp:cNvPr id="0" name=""/>
        <dsp:cNvSpPr/>
      </dsp:nvSpPr>
      <dsp:spPr>
        <a:xfrm rot="5400000">
          <a:off x="2471890" y="634505"/>
          <a:ext cx="481520" cy="548193"/>
        </a:xfrm>
        <a:prstGeom prst="bentUpArrow">
          <a:avLst>
            <a:gd name="adj1" fmla="val 32840"/>
            <a:gd name="adj2" fmla="val 25000"/>
            <a:gd name="adj3" fmla="val 35780"/>
          </a:avLst>
        </a:prstGeom>
        <a:solidFill>
          <a:schemeClr val="accent5">
            <a:tint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4D2B7216-01DC-4BD1-B04C-9C69C194A568}">
      <dsp:nvSpPr>
        <dsp:cNvPr id="0" name=""/>
        <dsp:cNvSpPr/>
      </dsp:nvSpPr>
      <dsp:spPr>
        <a:xfrm>
          <a:off x="1812199" y="19151"/>
          <a:ext cx="1293501" cy="730550"/>
        </a:xfrm>
        <a:prstGeom prst="roundRect">
          <a:avLst>
            <a:gd name="adj" fmla="val 16670"/>
          </a:avLst>
        </a:prstGeom>
        <a:solidFill>
          <a:schemeClr val="accent5">
            <a:shade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Identificación de las acciones de mitigación implementadas</a:t>
          </a:r>
        </a:p>
      </dsp:txBody>
      <dsp:txXfrm>
        <a:off x="1847868" y="54820"/>
        <a:ext cx="1222163" cy="659212"/>
      </dsp:txXfrm>
    </dsp:sp>
    <dsp:sp modelId="{CFC6C6F6-873C-4F6B-9327-738B0990C95B}">
      <dsp:nvSpPr>
        <dsp:cNvPr id="0" name=""/>
        <dsp:cNvSpPr/>
      </dsp:nvSpPr>
      <dsp:spPr>
        <a:xfrm>
          <a:off x="3261053" y="160960"/>
          <a:ext cx="3837773" cy="508682"/>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Identifique las acciones de mitigación implementados en el año de reporte.</a:t>
          </a:r>
        </a:p>
      </dsp:txBody>
      <dsp:txXfrm>
        <a:off x="3261053" y="160960"/>
        <a:ext cx="3837773" cy="508682"/>
      </dsp:txXfrm>
    </dsp:sp>
    <dsp:sp modelId="{0B8D6A91-9A90-4F6B-8C9A-91D84380422D}">
      <dsp:nvSpPr>
        <dsp:cNvPr id="0" name=""/>
        <dsp:cNvSpPr/>
      </dsp:nvSpPr>
      <dsp:spPr>
        <a:xfrm rot="5400000">
          <a:off x="3624551" y="1378583"/>
          <a:ext cx="481520" cy="548193"/>
        </a:xfrm>
        <a:prstGeom prst="bentUpArrow">
          <a:avLst>
            <a:gd name="adj1" fmla="val 32840"/>
            <a:gd name="adj2" fmla="val 25000"/>
            <a:gd name="adj3" fmla="val 35780"/>
          </a:avLst>
        </a:prstGeom>
        <a:solidFill>
          <a:schemeClr val="accent5">
            <a:tint val="50000"/>
            <a:hueOff val="-4262"/>
            <a:satOff val="203"/>
            <a:lumOff val="-68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33475939-2E79-4E9A-8104-DF17984D3A98}">
      <dsp:nvSpPr>
        <dsp:cNvPr id="0" name=""/>
        <dsp:cNvSpPr/>
      </dsp:nvSpPr>
      <dsp:spPr>
        <a:xfrm>
          <a:off x="2989861" y="762070"/>
          <a:ext cx="1371212" cy="732870"/>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Levantamiento de información de las acciones de mitigación implementadas</a:t>
          </a:r>
        </a:p>
      </dsp:txBody>
      <dsp:txXfrm>
        <a:off x="3025643" y="797852"/>
        <a:ext cx="1299648" cy="661306"/>
      </dsp:txXfrm>
    </dsp:sp>
    <dsp:sp modelId="{3DF63D40-31C5-467F-B4B4-69CC917140B3}">
      <dsp:nvSpPr>
        <dsp:cNvPr id="0" name=""/>
        <dsp:cNvSpPr/>
      </dsp:nvSpPr>
      <dsp:spPr>
        <a:xfrm>
          <a:off x="4617176" y="788448"/>
          <a:ext cx="3246631" cy="576567"/>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Levante información sobre las acciones de mitigación implementadas en el año de reporte.</a:t>
          </a:r>
        </a:p>
      </dsp:txBody>
      <dsp:txXfrm>
        <a:off x="4617176" y="788448"/>
        <a:ext cx="3246631" cy="576567"/>
      </dsp:txXfrm>
    </dsp:sp>
    <dsp:sp modelId="{0DA851C5-895D-4DDA-B718-5B83BF5E2A13}">
      <dsp:nvSpPr>
        <dsp:cNvPr id="0" name=""/>
        <dsp:cNvSpPr/>
      </dsp:nvSpPr>
      <dsp:spPr>
        <a:xfrm rot="5400000">
          <a:off x="4896133" y="1909154"/>
          <a:ext cx="481520" cy="888884"/>
        </a:xfrm>
        <a:prstGeom prst="bentUpArrow">
          <a:avLst>
            <a:gd name="adj1" fmla="val 32840"/>
            <a:gd name="adj2" fmla="val 25000"/>
            <a:gd name="adj3" fmla="val 35780"/>
          </a:avLst>
        </a:prstGeom>
        <a:solidFill>
          <a:schemeClr val="accent5">
            <a:tint val="50000"/>
            <a:hueOff val="-8524"/>
            <a:satOff val="405"/>
            <a:lumOff val="-137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65DAA22A-E297-4895-9749-B1CCA6D0D05C}">
      <dsp:nvSpPr>
        <dsp:cNvPr id="0" name=""/>
        <dsp:cNvSpPr/>
      </dsp:nvSpPr>
      <dsp:spPr>
        <a:xfrm>
          <a:off x="4161037" y="1453059"/>
          <a:ext cx="1246291" cy="759833"/>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Identificación de Remociones y/o proyectos de Compensación </a:t>
          </a:r>
        </a:p>
      </dsp:txBody>
      <dsp:txXfrm>
        <a:off x="4198136" y="1490158"/>
        <a:ext cx="1172093" cy="685635"/>
      </dsp:txXfrm>
    </dsp:sp>
    <dsp:sp modelId="{100F53C7-D896-42A0-A9C5-5FBCAE795958}">
      <dsp:nvSpPr>
        <dsp:cNvPr id="0" name=""/>
        <dsp:cNvSpPr/>
      </dsp:nvSpPr>
      <dsp:spPr>
        <a:xfrm>
          <a:off x="5814221" y="1538328"/>
          <a:ext cx="3170750" cy="499226"/>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Levante información sobre las remociones y/o los proyectos de compensación empleados. </a:t>
          </a:r>
        </a:p>
      </dsp:txBody>
      <dsp:txXfrm>
        <a:off x="5814221" y="1538328"/>
        <a:ext cx="3170750" cy="499226"/>
      </dsp:txXfrm>
    </dsp:sp>
    <dsp:sp modelId="{B119A5A8-E654-4653-B2E3-84958CB25550}">
      <dsp:nvSpPr>
        <dsp:cNvPr id="0" name=""/>
        <dsp:cNvSpPr/>
      </dsp:nvSpPr>
      <dsp:spPr>
        <a:xfrm rot="5400000">
          <a:off x="6311527" y="2826767"/>
          <a:ext cx="481520" cy="548193"/>
        </a:xfrm>
        <a:prstGeom prst="bentUpArrow">
          <a:avLst>
            <a:gd name="adj1" fmla="val 32840"/>
            <a:gd name="adj2" fmla="val 25000"/>
            <a:gd name="adj3" fmla="val 35780"/>
          </a:avLst>
        </a:prstGeom>
        <a:solidFill>
          <a:schemeClr val="accent5">
            <a:tint val="50000"/>
            <a:hueOff val="-12785"/>
            <a:satOff val="608"/>
            <a:lumOff val="-206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E0E0F27B-B4D0-4E2D-B47F-9880F55D4B17}">
      <dsp:nvSpPr>
        <dsp:cNvPr id="0" name=""/>
        <dsp:cNvSpPr/>
      </dsp:nvSpPr>
      <dsp:spPr>
        <a:xfrm>
          <a:off x="5464940" y="2217905"/>
          <a:ext cx="1477328" cy="700160"/>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Levantamiento de información de compensaciones usados</a:t>
          </a:r>
        </a:p>
      </dsp:txBody>
      <dsp:txXfrm>
        <a:off x="5499125" y="2252090"/>
        <a:ext cx="1408958" cy="631790"/>
      </dsp:txXfrm>
    </dsp:sp>
    <dsp:sp modelId="{2FE27063-B36B-4D1B-BCE7-25DBA02F5A3C}">
      <dsp:nvSpPr>
        <dsp:cNvPr id="0" name=""/>
        <dsp:cNvSpPr/>
      </dsp:nvSpPr>
      <dsp:spPr>
        <a:xfrm>
          <a:off x="8291368" y="2312292"/>
          <a:ext cx="589550" cy="458590"/>
        </a:xfrm>
        <a:prstGeom prst="rect">
          <a:avLst/>
        </a:prstGeom>
        <a:noFill/>
        <a:ln>
          <a:noFill/>
        </a:ln>
        <a:effectLst/>
      </dsp:spPr>
      <dsp:style>
        <a:lnRef idx="0">
          <a:scrgbClr r="0" g="0" b="0"/>
        </a:lnRef>
        <a:fillRef idx="0">
          <a:scrgbClr r="0" g="0" b="0"/>
        </a:fillRef>
        <a:effectRef idx="0">
          <a:scrgbClr r="0" g="0" b="0"/>
        </a:effectRef>
        <a:fontRef idx="minor"/>
      </dsp:style>
    </dsp:sp>
    <dsp:sp modelId="{5E8D2394-5CCA-4C78-9D12-A3F7F661926B}">
      <dsp:nvSpPr>
        <dsp:cNvPr id="0" name=""/>
        <dsp:cNvSpPr/>
      </dsp:nvSpPr>
      <dsp:spPr>
        <a:xfrm>
          <a:off x="6851735" y="2904250"/>
          <a:ext cx="1379837" cy="680988"/>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Completar la pestaña de REDUCCIONES </a:t>
          </a:r>
        </a:p>
      </dsp:txBody>
      <dsp:txXfrm>
        <a:off x="6884984" y="2937499"/>
        <a:ext cx="1313339" cy="614490"/>
      </dsp:txXfrm>
    </dsp:sp>
  </dsp:spTree>
</dsp:drawing>
</file>

<file path=xl/diagrams/layout1.xml><?xml version="1.0" encoding="utf-8"?>
<dgm:layoutDef xmlns:dgm="http://schemas.openxmlformats.org/drawingml/2006/diagram" xmlns:a="http://schemas.openxmlformats.org/drawingml/2006/main" uniqueId="urn:microsoft.com/office/officeart/2005/8/layout/StepDownProcess#1">
  <dgm:title val=""/>
  <dgm:desc val=""/>
  <dgm:catLst>
    <dgm:cat type="process" pri="1600"/>
  </dgm:catLst>
  <dgm:sampData>
    <dgm:dataModel>
      <dgm:ptLst>
        <dgm:pt modelId="0" type="doc"/>
        <dgm:pt modelId="10">
          <dgm:prSet phldr="1"/>
        </dgm:pt>
        <dgm:pt modelId="11">
          <dgm:prSet phldr="1"/>
        </dgm:pt>
        <dgm:pt modelId="20">
          <dgm:prSet phldr="1"/>
        </dgm:pt>
        <dgm:pt modelId="21">
          <dgm:prSet phldr="1"/>
        </dgm:pt>
        <dgm:pt modelId="30">
          <dgm:prSet phldr="1"/>
        </dgm:pt>
        <dgm:pt modelId="31">
          <dgm:prSet phldr="1"/>
        </dgm:pt>
      </dgm:ptLst>
      <dgm:cxnLst>
        <dgm:cxn modelId="60" srcId="0" destId="10" srcOrd="0" destOrd="0"/>
        <dgm:cxn modelId="12" srcId="10" destId="11" srcOrd="0" destOrd="0"/>
        <dgm:cxn modelId="70" srcId="0" destId="20" srcOrd="1" destOrd="0"/>
        <dgm:cxn modelId="22" srcId="20" destId="21" srcOrd="0" destOrd="0"/>
        <dgm:cxn modelId="80" srcId="0" destId="30" srcOrd="2" destOrd="0"/>
        <dgm:cxn modelId="32" srcId="30" destId="31" srcOrd="0" destOrd="0"/>
      </dgm:cxnLst>
      <dgm:bg/>
      <dgm:whole/>
    </dgm:dataModel>
  </dgm:sampData>
  <dgm:styleData>
    <dgm:dataModel>
      <dgm:ptLst>
        <dgm:pt modelId="0" type="doc"/>
        <dgm:pt modelId="10">
          <dgm:prSet phldr="1"/>
        </dgm:pt>
        <dgm:pt modelId="20">
          <dgm:prSet phldr="1"/>
        </dgm:pt>
      </dgm:ptLst>
      <dgm:cxnLst>
        <dgm:cxn modelId="60" srcId="0" destId="10" srcOrd="0" destOrd="0"/>
        <dgm:cxn modelId="7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60" srcId="0" destId="10" srcOrd="0" destOrd="0"/>
        <dgm:cxn modelId="70" srcId="0" destId="20" srcOrd="1" destOrd="0"/>
        <dgm:cxn modelId="80" srcId="0" destId="30" srcOrd="2" destOrd="0"/>
        <dgm:cxn modelId="90" srcId="0" destId="40" srcOrd="3" destOrd="0"/>
      </dgm:cxnLst>
      <dgm:bg/>
      <dgm:whole/>
    </dgm:dataModel>
  </dgm:clrData>
  <dgm:layoutNode name="rootnode">
    <dgm:varLst>
      <dgm:chMax/>
      <dgm:chPref/>
      <dgm:dir/>
      <dgm:animLvl val="lvl"/>
    </dgm:varLst>
    <dgm:choose name="Name0">
      <dgm:if name="Name1" func="var" arg="dir" op="equ" val="norm">
        <dgm:alg type="snake">
          <dgm:param type="bkpt" val="fixed"/>
          <dgm:param type="bkPtFixedVal" val="1"/>
          <dgm:param type="off" val="off"/>
          <dgm:param type="grDir" val="tL"/>
          <dgm:param type="flowDir" val="row"/>
        </dgm:alg>
      </dgm:if>
      <dgm:else name="Name2">
        <dgm:alg type="snake">
          <dgm:param type="bkpt" val="fixed"/>
          <dgm:param type="bkPtFixedVal" val="1"/>
          <dgm:param type="off" val="off"/>
          <dgm:param type="grDir" val="tR"/>
          <dgm:param type="flowDir" val="row"/>
        </dgm:alg>
      </dgm:else>
    </dgm:choose>
    <dgm:shape xmlns:r="http://schemas.openxmlformats.org/officeDocument/2006/relationships" r:blip="">
      <dgm:adjLst/>
    </dgm:shape>
    <dgm:choose name="Name3">
      <dgm:if name="Name4" func="var" arg="dir" op="equ" val="norm">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if>
      <dgm:else name="Name5">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else>
    </dgm:choose>
    <dgm:forEach name="nodesForEach" axis="ch" ptType="node">
      <dgm:layoutNode name="composite">
        <dgm:alg type="composite">
          <dgm:param type="ar" val="1.2439"/>
        </dgm:alg>
        <dgm:shape xmlns:r="http://schemas.openxmlformats.org/officeDocument/2006/relationships" r:blip="">
          <dgm:adjLst/>
        </dgm:shape>
        <dgm:choose name="Name6">
          <dgm:if name="Name7" func="var" arg="dir" op="equ" val="norm">
            <dgm:constrLst>
              <dgm:constr type="l" for="ch" forName="bentUpArrow1" refType="w" fact="0.07"/>
              <dgm:constr type="t" for="ch" forName="bentUpArrow1" refType="h" fact="0.524"/>
              <dgm:constr type="w" for="ch" forName="bentUpArrow1" refType="w" fact="0.3844"/>
              <dgm:constr type="h" for="ch" forName="bentUpArrow1" refType="h" fact="0.42"/>
              <dgm:constr type="l" for="ch" forName="ParentText" refType="w" fact="0"/>
              <dgm:constr type="t" for="ch" forName="ParentText" refType="h" fact="0"/>
              <dgm:constr type="w" for="ch" forName="ParentText" refType="w" fact="0.5684"/>
              <dgm:constr type="h" for="ch" forName="ParentText" refType="h" fact="0.4949"/>
              <dgm:constr type="l" for="ch" forName="ChildText" refType="w" refFor="ch" refForName="ParentText"/>
              <dgm:constr type="t" for="ch" forName="ChildText" refType="h" fact="0.05"/>
              <dgm:constr type="w" for="ch" forName="ChildText" refType="w" fact="0.4134"/>
              <dgm:constr type="h" for="ch" forName="ChildText" refType="h" fact="0.4"/>
              <dgm:constr type="l" for="ch" forName="FinalChildText" refType="w" refFor="ch" refForName="ParentText"/>
              <dgm:constr type="t" for="ch" forName="FinalChildText" refType="h" fact="0.05"/>
              <dgm:constr type="w" for="ch" forName="FinalChildText" refType="w" fact="0.4134"/>
              <dgm:constr type="h" for="ch" forName="FinalChildText" refType="h" fact="0.4"/>
            </dgm:constrLst>
          </dgm:if>
          <dgm:else name="Name8">
            <dgm:constrLst>
              <dgm:constr type="r" for="ch" forName="bentUpArrow1" refType="w" fact="0.97"/>
              <dgm:constr type="t" for="ch" forName="bentUpArrow1" refType="h" fact="0.524"/>
              <dgm:constr type="w" for="ch" forName="bentUpArrow1" refType="w" fact="0.3844"/>
              <dgm:constr type="h" for="ch" forName="bentUpArrow1" refType="h" fact="0.42"/>
              <dgm:constr type="l" for="ch" forName="ParentText" refType="w" fact="0.4316"/>
              <dgm:constr type="t" for="ch" forName="ParentText" refType="h" fact="0"/>
              <dgm:constr type="w" for="ch" forName="ParentText" refType="w" fact="0.5684"/>
              <dgm:constr type="h" for="ch" forName="ParentText" refType="h" fact="0.4949"/>
              <dgm:constr type="l" for="ch" forName="ChildText" refType="w" fact="0"/>
              <dgm:constr type="t" for="ch" forName="ChildText" refType="h" fact="0.05"/>
              <dgm:constr type="w" for="ch" forName="ChildText" refType="w" fact="0.4134"/>
              <dgm:constr type="h" for="ch" forName="ChildText" refType="h" fact="0.4"/>
              <dgm:constr type="l" for="ch" forName="FinalChildText" refType="w" fact="0"/>
              <dgm:constr type="t" for="ch" forName="FinalChildText" refType="h" fact="0.05"/>
              <dgm:constr type="w" for="ch" forName="FinalChildText" refType="w" fact="0.4134"/>
              <dgm:constr type="h" for="ch" forName="FinalChildText" refType="h" fact="0.4"/>
            </dgm:constrLst>
          </dgm:else>
        </dgm:choose>
        <dgm:choose name="Name9">
          <dgm:if name="Name10" axis="followSib" ptType="node" func="cnt" op="gte" val="1">
            <dgm:layoutNode name="bentUpArrow1" styleLbl="alignImgPlace1">
              <dgm:alg type="sp"/>
              <dgm:choose name="Name11">
                <dgm:if name="Name12" func="var" arg="dir" op="equ" val="norm">
                  <dgm:shape xmlns:r="http://schemas.openxmlformats.org/officeDocument/2006/relationships" rot="90" type="bentUpArrow" r:blip="">
                    <dgm:adjLst>
                      <dgm:adj idx="1" val="0.3284"/>
                      <dgm:adj idx="2" val="0.25"/>
                      <dgm:adj idx="3" val="0.3578"/>
                    </dgm:adjLst>
                  </dgm:shape>
                </dgm:if>
                <dgm:else name="Name13">
                  <dgm:shape xmlns:r="http://schemas.openxmlformats.org/officeDocument/2006/relationships" rot="180" type="bentArrow" r:blip="">
                    <dgm:adjLst>
                      <dgm:adj idx="1" val="0.3284"/>
                      <dgm:adj idx="2" val="0.25"/>
                      <dgm:adj idx="3" val="0.3578"/>
                      <dgm:adj idx="4" val="0"/>
                    </dgm:adjLst>
                  </dgm:shape>
                </dgm:else>
              </dgm:choose>
              <dgm:presOf/>
            </dgm:layoutNode>
          </dgm:if>
          <dgm:else name="Name14"/>
        </dgm:choose>
        <dgm:layoutNode name="ParentText" styleLbl="node1">
          <dgm:varLst>
            <dgm:chMax val="1"/>
            <dgm:chPref val="1"/>
            <dgm:bulletEnabled val="1"/>
          </dgm:varLst>
          <dgm:alg type="tx"/>
          <dgm:shape xmlns:r="http://schemas.openxmlformats.org/officeDocument/2006/relationships" type="roundRect" r:blip="">
            <dgm:adjLst>
              <dgm:adj idx="1" val="0.1667"/>
            </dgm:adjLst>
          </dgm:shape>
          <dgm:presOf axis="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choose name="Name15">
          <dgm:if name="Name16" axis="followSib" ptType="node" func="cnt" op="equ" val="0">
            <dgm:choose name="Name17">
              <dgm:if name="Name18" axis="ch" ptType="node" func="cnt" op="gte" val="1">
                <dgm:layoutNode name="Final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9"/>
            </dgm:choose>
          </dgm:if>
          <dgm:else name="Name20">
            <dgm:layoutNode name="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else>
        </dgm:choos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StepDownProcess#2">
  <dgm:title val=""/>
  <dgm:desc val=""/>
  <dgm:catLst>
    <dgm:cat type="process" pri="1600"/>
  </dgm:catLst>
  <dgm:sampData>
    <dgm:dataModel>
      <dgm:ptLst>
        <dgm:pt modelId="0" type="doc"/>
        <dgm:pt modelId="10">
          <dgm:prSet phldr="1"/>
        </dgm:pt>
        <dgm:pt modelId="11">
          <dgm:prSet phldr="1"/>
        </dgm:pt>
        <dgm:pt modelId="20">
          <dgm:prSet phldr="1"/>
        </dgm:pt>
        <dgm:pt modelId="21">
          <dgm:prSet phldr="1"/>
        </dgm:pt>
        <dgm:pt modelId="30">
          <dgm:prSet phldr="1"/>
        </dgm:pt>
        <dgm:pt modelId="31">
          <dgm:prSet phldr="1"/>
        </dgm:pt>
      </dgm:ptLst>
      <dgm:cxnLst>
        <dgm:cxn modelId="60" srcId="0" destId="10" srcOrd="0" destOrd="0"/>
        <dgm:cxn modelId="12" srcId="10" destId="11" srcOrd="0" destOrd="0"/>
        <dgm:cxn modelId="70" srcId="0" destId="20" srcOrd="1" destOrd="0"/>
        <dgm:cxn modelId="22" srcId="20" destId="21" srcOrd="0" destOrd="0"/>
        <dgm:cxn modelId="80" srcId="0" destId="30" srcOrd="2" destOrd="0"/>
        <dgm:cxn modelId="32" srcId="30" destId="31" srcOrd="0" destOrd="0"/>
      </dgm:cxnLst>
      <dgm:bg/>
      <dgm:whole/>
    </dgm:dataModel>
  </dgm:sampData>
  <dgm:styleData>
    <dgm:dataModel>
      <dgm:ptLst>
        <dgm:pt modelId="0" type="doc"/>
        <dgm:pt modelId="10">
          <dgm:prSet phldr="1"/>
        </dgm:pt>
        <dgm:pt modelId="20">
          <dgm:prSet phldr="1"/>
        </dgm:pt>
      </dgm:ptLst>
      <dgm:cxnLst>
        <dgm:cxn modelId="60" srcId="0" destId="10" srcOrd="0" destOrd="0"/>
        <dgm:cxn modelId="7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60" srcId="0" destId="10" srcOrd="0" destOrd="0"/>
        <dgm:cxn modelId="70" srcId="0" destId="20" srcOrd="1" destOrd="0"/>
        <dgm:cxn modelId="80" srcId="0" destId="30" srcOrd="2" destOrd="0"/>
        <dgm:cxn modelId="90" srcId="0" destId="40" srcOrd="3" destOrd="0"/>
      </dgm:cxnLst>
      <dgm:bg/>
      <dgm:whole/>
    </dgm:dataModel>
  </dgm:clrData>
  <dgm:layoutNode name="rootnode">
    <dgm:varLst>
      <dgm:chMax/>
      <dgm:chPref/>
      <dgm:dir/>
      <dgm:animLvl val="lvl"/>
    </dgm:varLst>
    <dgm:choose name="Name0">
      <dgm:if name="Name1" func="var" arg="dir" op="equ" val="norm">
        <dgm:alg type="snake">
          <dgm:param type="bkpt" val="fixed"/>
          <dgm:param type="bkPtFixedVal" val="1"/>
          <dgm:param type="off" val="off"/>
          <dgm:param type="grDir" val="tL"/>
          <dgm:param type="flowDir" val="row"/>
        </dgm:alg>
      </dgm:if>
      <dgm:else name="Name2">
        <dgm:alg type="snake">
          <dgm:param type="bkpt" val="fixed"/>
          <dgm:param type="bkPtFixedVal" val="1"/>
          <dgm:param type="off" val="off"/>
          <dgm:param type="grDir" val="tR"/>
          <dgm:param type="flowDir" val="row"/>
        </dgm:alg>
      </dgm:else>
    </dgm:choose>
    <dgm:shape xmlns:r="http://schemas.openxmlformats.org/officeDocument/2006/relationships" r:blip="">
      <dgm:adjLst/>
    </dgm:shape>
    <dgm:choose name="Name3">
      <dgm:if name="Name4" func="var" arg="dir" op="equ" val="norm">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if>
      <dgm:else name="Name5">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else>
    </dgm:choose>
    <dgm:forEach name="nodesForEach" axis="ch" ptType="node">
      <dgm:layoutNode name="composite">
        <dgm:alg type="composite">
          <dgm:param type="ar" val="1.2439"/>
        </dgm:alg>
        <dgm:shape xmlns:r="http://schemas.openxmlformats.org/officeDocument/2006/relationships" r:blip="">
          <dgm:adjLst/>
        </dgm:shape>
        <dgm:choose name="Name6">
          <dgm:if name="Name7" func="var" arg="dir" op="equ" val="norm">
            <dgm:constrLst>
              <dgm:constr type="l" for="ch" forName="bentUpArrow1" refType="w" fact="0.07"/>
              <dgm:constr type="t" for="ch" forName="bentUpArrow1" refType="h" fact="0.524"/>
              <dgm:constr type="w" for="ch" forName="bentUpArrow1" refType="w" fact="0.3844"/>
              <dgm:constr type="h" for="ch" forName="bentUpArrow1" refType="h" fact="0.42"/>
              <dgm:constr type="l" for="ch" forName="ParentText" refType="w" fact="0"/>
              <dgm:constr type="t" for="ch" forName="ParentText" refType="h" fact="0"/>
              <dgm:constr type="w" for="ch" forName="ParentText" refType="w" fact="0.5684"/>
              <dgm:constr type="h" for="ch" forName="ParentText" refType="h" fact="0.4949"/>
              <dgm:constr type="l" for="ch" forName="ChildText" refType="w" refFor="ch" refForName="ParentText"/>
              <dgm:constr type="t" for="ch" forName="ChildText" refType="h" fact="0.05"/>
              <dgm:constr type="w" for="ch" forName="ChildText" refType="w" fact="0.4134"/>
              <dgm:constr type="h" for="ch" forName="ChildText" refType="h" fact="0.4"/>
              <dgm:constr type="l" for="ch" forName="FinalChildText" refType="w" refFor="ch" refForName="ParentText"/>
              <dgm:constr type="t" for="ch" forName="FinalChildText" refType="h" fact="0.05"/>
              <dgm:constr type="w" for="ch" forName="FinalChildText" refType="w" fact="0.4134"/>
              <dgm:constr type="h" for="ch" forName="FinalChildText" refType="h" fact="0.4"/>
            </dgm:constrLst>
          </dgm:if>
          <dgm:else name="Name8">
            <dgm:constrLst>
              <dgm:constr type="r" for="ch" forName="bentUpArrow1" refType="w" fact="0.97"/>
              <dgm:constr type="t" for="ch" forName="bentUpArrow1" refType="h" fact="0.524"/>
              <dgm:constr type="w" for="ch" forName="bentUpArrow1" refType="w" fact="0.3844"/>
              <dgm:constr type="h" for="ch" forName="bentUpArrow1" refType="h" fact="0.42"/>
              <dgm:constr type="l" for="ch" forName="ParentText" refType="w" fact="0.4316"/>
              <dgm:constr type="t" for="ch" forName="ParentText" refType="h" fact="0"/>
              <dgm:constr type="w" for="ch" forName="ParentText" refType="w" fact="0.5684"/>
              <dgm:constr type="h" for="ch" forName="ParentText" refType="h" fact="0.4949"/>
              <dgm:constr type="l" for="ch" forName="ChildText" refType="w" fact="0"/>
              <dgm:constr type="t" for="ch" forName="ChildText" refType="h" fact="0.05"/>
              <dgm:constr type="w" for="ch" forName="ChildText" refType="w" fact="0.4134"/>
              <dgm:constr type="h" for="ch" forName="ChildText" refType="h" fact="0.4"/>
              <dgm:constr type="l" for="ch" forName="FinalChildText" refType="w" fact="0"/>
              <dgm:constr type="t" for="ch" forName="FinalChildText" refType="h" fact="0.05"/>
              <dgm:constr type="w" for="ch" forName="FinalChildText" refType="w" fact="0.4134"/>
              <dgm:constr type="h" for="ch" forName="FinalChildText" refType="h" fact="0.4"/>
            </dgm:constrLst>
          </dgm:else>
        </dgm:choose>
        <dgm:choose name="Name9">
          <dgm:if name="Name10" axis="followSib" ptType="node" func="cnt" op="gte" val="1">
            <dgm:layoutNode name="bentUpArrow1" styleLbl="alignImgPlace1">
              <dgm:alg type="sp"/>
              <dgm:choose name="Name11">
                <dgm:if name="Name12" func="var" arg="dir" op="equ" val="norm">
                  <dgm:shape xmlns:r="http://schemas.openxmlformats.org/officeDocument/2006/relationships" rot="90" type="bentUpArrow" r:blip="">
                    <dgm:adjLst>
                      <dgm:adj idx="1" val="0.3284"/>
                      <dgm:adj idx="2" val="0.25"/>
                      <dgm:adj idx="3" val="0.3578"/>
                    </dgm:adjLst>
                  </dgm:shape>
                </dgm:if>
                <dgm:else name="Name13">
                  <dgm:shape xmlns:r="http://schemas.openxmlformats.org/officeDocument/2006/relationships" rot="180" type="bentArrow" r:blip="">
                    <dgm:adjLst>
                      <dgm:adj idx="1" val="0.3284"/>
                      <dgm:adj idx="2" val="0.25"/>
                      <dgm:adj idx="3" val="0.3578"/>
                      <dgm:adj idx="4" val="0"/>
                    </dgm:adjLst>
                  </dgm:shape>
                </dgm:else>
              </dgm:choose>
              <dgm:presOf/>
            </dgm:layoutNode>
          </dgm:if>
          <dgm:else name="Name14"/>
        </dgm:choose>
        <dgm:layoutNode name="ParentText" styleLbl="node1">
          <dgm:varLst>
            <dgm:chMax val="1"/>
            <dgm:chPref val="1"/>
            <dgm:bulletEnabled val="1"/>
          </dgm:varLst>
          <dgm:alg type="tx"/>
          <dgm:shape xmlns:r="http://schemas.openxmlformats.org/officeDocument/2006/relationships" type="roundRect" r:blip="">
            <dgm:adjLst>
              <dgm:adj idx="1" val="0.1667"/>
            </dgm:adjLst>
          </dgm:shape>
          <dgm:presOf axis="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choose name="Name15">
          <dgm:if name="Name16" axis="followSib" ptType="node" func="cnt" op="equ" val="0">
            <dgm:choose name="Name17">
              <dgm:if name="Name18" axis="ch" ptType="node" func="cnt" op="gte" val="1">
                <dgm:layoutNode name="Final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9"/>
            </dgm:choose>
          </dgm:if>
          <dgm:else name="Name20">
            <dgm:layoutNode name="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else>
        </dgm:choos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1">
  <dgm:title val=""/>
  <dgm:desc val=""/>
  <dgm:catLst>
    <dgm:cat type="simple" pri="10100"/>
  </dgm:catLst>
  <dgm:scene3d>
    <a:camera prst="orthographicFront"/>
    <a:lightRig rig="threePt" dir="t"/>
  </dgm:scene3d>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2">
  <dgm:title val=""/>
  <dgm:desc val=""/>
  <dgm:catLst>
    <dgm:cat type="simple" pri="10100"/>
  </dgm:catLst>
  <dgm:scene3d>
    <a:camera prst="orthographicFront"/>
    <a:lightRig rig="threePt" dir="t"/>
  </dgm:scene3d>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6" Type="http://schemas.openxmlformats.org/officeDocument/2006/relationships/diagramData" Target="../diagrams/data2.xml"/><Relationship Id="rId1" Type="http://schemas.openxmlformats.org/officeDocument/2006/relationships/diagramData" Target="../diagrams/data1.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55562</xdr:colOff>
      <xdr:row>9</xdr:row>
      <xdr:rowOff>71438</xdr:rowOff>
    </xdr:from>
    <xdr:to>
      <xdr:col>13</xdr:col>
      <xdr:colOff>1476375</xdr:colOff>
      <xdr:row>12</xdr:row>
      <xdr:rowOff>3159125</xdr:rowOff>
    </xdr:to>
    <xdr:graphicFrame macro="">
      <xdr:nvGraphicFramePr>
        <xdr:cNvPr id="3" name="3 Diagrama">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0</xdr:col>
      <xdr:colOff>785814</xdr:colOff>
      <xdr:row>53</xdr:row>
      <xdr:rowOff>39687</xdr:rowOff>
    </xdr:from>
    <xdr:to>
      <xdr:col>13</xdr:col>
      <xdr:colOff>1460501</xdr:colOff>
      <xdr:row>57</xdr:row>
      <xdr:rowOff>15874</xdr:rowOff>
    </xdr:to>
    <xdr:graphicFrame macro="">
      <xdr:nvGraphicFramePr>
        <xdr:cNvPr id="5" name="3 Diagrama">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1170215</xdr:colOff>
      <xdr:row>83</xdr:row>
      <xdr:rowOff>90714</xdr:rowOff>
    </xdr:from>
    <xdr:to>
      <xdr:col>5</xdr:col>
      <xdr:colOff>314144</xdr:colOff>
      <xdr:row>89</xdr:row>
      <xdr:rowOff>73933</xdr:rowOff>
    </xdr:to>
    <xdr:pic>
      <xdr:nvPicPr>
        <xdr:cNvPr id="5" name="Imagen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5854371" y="20707597"/>
          <a:ext cx="1980812" cy="1236726"/>
        </a:xfrm>
        <a:prstGeom prst="rect">
          <a:avLst/>
        </a:prstGeom>
        <a:noFill/>
        <a:ln>
          <a:noFill/>
        </a:ln>
      </xdr:spPr>
    </xdr:pic>
    <xdr:clientData/>
  </xdr:twoCellAnchor>
  <xdr:twoCellAnchor editAs="oneCell">
    <xdr:from>
      <xdr:col>4</xdr:col>
      <xdr:colOff>70098</xdr:colOff>
      <xdr:row>67</xdr:row>
      <xdr:rowOff>55675</xdr:rowOff>
    </xdr:from>
    <xdr:to>
      <xdr:col>6</xdr:col>
      <xdr:colOff>9053</xdr:colOff>
      <xdr:row>69</xdr:row>
      <xdr:rowOff>171435</xdr:rowOff>
    </xdr:to>
    <xdr:pic>
      <xdr:nvPicPr>
        <xdr:cNvPr id="2" name="Imagen 1">
          <a:extLst>
            <a:ext uri="{FF2B5EF4-FFF2-40B4-BE49-F238E27FC236}">
              <a16:creationId xmlns:a16="http://schemas.microsoft.com/office/drawing/2014/main" id="{A3E02BC2-0C37-090A-37AC-FE00423909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63244" y="16551405"/>
          <a:ext cx="2764348" cy="572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199032</xdr:colOff>
      <xdr:row>67</xdr:row>
      <xdr:rowOff>6541</xdr:rowOff>
    </xdr:from>
    <xdr:to>
      <xdr:col>6</xdr:col>
      <xdr:colOff>1393304</xdr:colOff>
      <xdr:row>70</xdr:row>
      <xdr:rowOff>378</xdr:rowOff>
    </xdr:to>
    <xdr:pic>
      <xdr:nvPicPr>
        <xdr:cNvPr id="4" name="Imagen 3">
          <a:extLst>
            <a:ext uri="{FF2B5EF4-FFF2-40B4-BE49-F238E27FC236}">
              <a16:creationId xmlns:a16="http://schemas.microsoft.com/office/drawing/2014/main" id="{DFB7C68E-29C0-E7B8-5D4A-C4EA3B00FA3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107987" y="16440720"/>
          <a:ext cx="1194272" cy="6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oficina/Downloads/Herramienta%20CalculoHC%20291014.xlsx" TargetMode="External"/><Relationship Id="rId1" Type="http://schemas.openxmlformats.org/officeDocument/2006/relationships/externalLinkPath" Target="/Users/oficina/Downloads/Herramienta%20CalculoHC%20291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ICIO"/>
      <sheetName val="INSTRUCCIONES GESTIÓN DE LA INF"/>
      <sheetName val="FORMATO"/>
      <sheetName val="INSTRUCCIONES INCERTIDUMBRE"/>
      <sheetName val="HC CORPORATIVA-INCERTIDUMBRE"/>
      <sheetName val="Otros factores"/>
    </sheetNames>
    <sheetDataSet>
      <sheetData sheetId="0" refreshError="1"/>
      <sheetData sheetId="1" refreshError="1"/>
      <sheetData sheetId="2"/>
      <sheetData sheetId="3" refreshError="1"/>
      <sheetData sheetId="4"/>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www.gas-servei.com/images/Ficha-tecnica-R404A.pdf"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2FB9CE"/>
  </sheetPr>
  <dimension ref="A2:N82"/>
  <sheetViews>
    <sheetView zoomScale="80" zoomScaleNormal="80" workbookViewId="0">
      <selection activeCell="B34" sqref="B34"/>
    </sheetView>
  </sheetViews>
  <sheetFormatPr defaultColWidth="11.375" defaultRowHeight="14.25"/>
  <cols>
    <col min="1" max="1" width="11.375" style="186"/>
    <col min="2" max="2" width="14.375" style="186" customWidth="1"/>
    <col min="3" max="3" width="15.125" style="186" customWidth="1"/>
    <col min="4" max="5" width="11.375" style="186"/>
    <col min="6" max="6" width="11.375" style="187"/>
    <col min="7" max="13" width="13.375" style="186" customWidth="1"/>
    <col min="14" max="14" width="22.875" style="186" customWidth="1"/>
    <col min="15" max="16384" width="11.375" style="186"/>
  </cols>
  <sheetData>
    <row r="2" spans="1:14" ht="15" customHeight="1">
      <c r="B2" s="561" t="s">
        <v>0</v>
      </c>
      <c r="C2" s="562"/>
      <c r="D2" s="562"/>
      <c r="E2" s="562"/>
      <c r="F2" s="562"/>
      <c r="G2" s="562"/>
      <c r="H2" s="562"/>
      <c r="I2" s="562"/>
      <c r="J2" s="562"/>
      <c r="K2" s="562"/>
      <c r="L2" s="562"/>
      <c r="M2" s="562"/>
      <c r="N2" s="563"/>
    </row>
    <row r="3" spans="1:14" ht="38.25" customHeight="1">
      <c r="B3" s="564"/>
      <c r="C3" s="565"/>
      <c r="D3" s="565"/>
      <c r="E3" s="565"/>
      <c r="F3" s="565"/>
      <c r="G3" s="565"/>
      <c r="H3" s="565"/>
      <c r="I3" s="565"/>
      <c r="J3" s="565"/>
      <c r="K3" s="565"/>
      <c r="L3" s="565"/>
      <c r="M3" s="565"/>
      <c r="N3" s="566"/>
    </row>
    <row r="4" spans="1:14">
      <c r="A4" s="26"/>
      <c r="B4" s="26"/>
      <c r="C4" s="26"/>
      <c r="D4" s="26"/>
      <c r="E4" s="26"/>
      <c r="F4" s="418"/>
      <c r="G4" s="26"/>
      <c r="H4" s="26"/>
      <c r="I4" s="26"/>
      <c r="J4" s="26"/>
      <c r="K4" s="26"/>
      <c r="L4" s="26"/>
      <c r="M4" s="26"/>
      <c r="N4" s="26"/>
    </row>
    <row r="5" spans="1:14" ht="15.75" customHeight="1">
      <c r="A5" s="26"/>
      <c r="B5" s="567" t="s">
        <v>1</v>
      </c>
      <c r="C5" s="568"/>
      <c r="D5" s="568"/>
      <c r="E5" s="568"/>
      <c r="F5" s="568"/>
      <c r="G5" s="568"/>
      <c r="H5" s="568"/>
      <c r="I5" s="568"/>
      <c r="J5" s="568"/>
      <c r="K5" s="568"/>
      <c r="L5" s="568"/>
      <c r="M5" s="568"/>
      <c r="N5" s="569"/>
    </row>
    <row r="6" spans="1:14" ht="15.75" customHeight="1">
      <c r="A6" s="26"/>
      <c r="B6" s="567" t="s">
        <v>2</v>
      </c>
      <c r="C6" s="568"/>
      <c r="D6" s="568"/>
      <c r="E6" s="568"/>
      <c r="F6" s="568"/>
      <c r="G6" s="568"/>
      <c r="H6" s="568"/>
      <c r="I6" s="568"/>
      <c r="J6" s="568"/>
      <c r="K6" s="568"/>
      <c r="L6" s="568"/>
      <c r="M6" s="568"/>
      <c r="N6" s="569"/>
    </row>
    <row r="7" spans="1:14" ht="16.5" customHeight="1">
      <c r="A7" s="26"/>
      <c r="B7" s="567" t="s">
        <v>3</v>
      </c>
      <c r="C7" s="568"/>
      <c r="D7" s="568"/>
      <c r="E7" s="568"/>
      <c r="F7" s="568"/>
      <c r="G7" s="568"/>
      <c r="H7" s="568"/>
      <c r="I7" s="568"/>
      <c r="J7" s="568"/>
      <c r="K7" s="568"/>
      <c r="L7" s="568"/>
      <c r="M7" s="568"/>
      <c r="N7" s="569"/>
    </row>
    <row r="8" spans="1:14">
      <c r="A8" s="26"/>
      <c r="B8" s="419"/>
      <c r="C8" s="419"/>
      <c r="D8" s="420"/>
      <c r="E8" s="420"/>
      <c r="F8" s="420"/>
      <c r="G8" s="420"/>
      <c r="H8" s="420"/>
      <c r="I8" s="420"/>
      <c r="J8" s="420"/>
      <c r="K8" s="420"/>
      <c r="L8" s="420"/>
      <c r="M8" s="420"/>
      <c r="N8" s="420"/>
    </row>
    <row r="9" spans="1:14" ht="39" customHeight="1">
      <c r="A9" s="26"/>
      <c r="B9" s="567" t="s">
        <v>4</v>
      </c>
      <c r="C9" s="568"/>
      <c r="D9" s="568"/>
      <c r="E9" s="568"/>
      <c r="F9" s="568"/>
      <c r="G9" s="568"/>
      <c r="H9" s="568"/>
      <c r="I9" s="568"/>
      <c r="J9" s="568"/>
      <c r="K9" s="568"/>
      <c r="L9" s="568"/>
      <c r="M9" s="568"/>
      <c r="N9" s="569"/>
    </row>
    <row r="10" spans="1:14">
      <c r="A10" s="26"/>
      <c r="B10" s="421"/>
      <c r="C10" s="570"/>
      <c r="D10" s="570"/>
      <c r="E10" s="570"/>
      <c r="F10" s="570"/>
      <c r="G10" s="570"/>
      <c r="H10" s="570"/>
      <c r="I10" s="570"/>
      <c r="J10" s="570"/>
      <c r="K10" s="570"/>
      <c r="L10" s="570"/>
      <c r="M10" s="570"/>
      <c r="N10" s="422"/>
    </row>
    <row r="11" spans="1:14">
      <c r="A11" s="26"/>
      <c r="B11" s="423"/>
      <c r="C11" s="424"/>
      <c r="D11" s="424"/>
      <c r="E11" s="424"/>
      <c r="F11" s="420"/>
      <c r="G11" s="424"/>
      <c r="H11" s="424"/>
      <c r="I11" s="424"/>
      <c r="J11" s="424"/>
      <c r="K11" s="424"/>
      <c r="L11" s="424"/>
      <c r="M11" s="424"/>
      <c r="N11" s="425"/>
    </row>
    <row r="12" spans="1:14" ht="90" customHeight="1">
      <c r="A12" s="26"/>
      <c r="B12" s="423"/>
      <c r="C12" s="424"/>
      <c r="D12" s="424"/>
      <c r="E12" s="424"/>
      <c r="F12" s="420"/>
      <c r="G12" s="424"/>
      <c r="H12" s="424"/>
      <c r="I12" s="424"/>
      <c r="J12" s="424"/>
      <c r="K12" s="424"/>
      <c r="L12" s="424"/>
      <c r="M12" s="424"/>
      <c r="N12" s="425"/>
    </row>
    <row r="13" spans="1:14" ht="253.5" customHeight="1">
      <c r="A13" s="26"/>
      <c r="B13" s="426"/>
      <c r="C13" s="427"/>
      <c r="D13" s="427"/>
      <c r="E13" s="427"/>
      <c r="F13" s="428"/>
      <c r="G13" s="427"/>
      <c r="H13" s="427"/>
      <c r="I13" s="427"/>
      <c r="J13" s="427"/>
      <c r="K13" s="427"/>
      <c r="L13" s="427"/>
      <c r="M13" s="427"/>
      <c r="N13" s="429"/>
    </row>
    <row r="14" spans="1:14" ht="61.5" customHeight="1">
      <c r="A14" s="26"/>
      <c r="B14" s="571" t="s">
        <v>5</v>
      </c>
      <c r="C14" s="572"/>
      <c r="D14" s="572"/>
      <c r="E14" s="572"/>
      <c r="F14" s="572"/>
      <c r="G14" s="572"/>
      <c r="H14" s="572"/>
      <c r="I14" s="572"/>
      <c r="J14" s="572"/>
      <c r="K14" s="572"/>
      <c r="L14" s="572"/>
      <c r="M14" s="572"/>
      <c r="N14" s="573"/>
    </row>
    <row r="15" spans="1:14">
      <c r="A15" s="26"/>
      <c r="B15" s="574" t="s">
        <v>6</v>
      </c>
      <c r="C15" s="575"/>
      <c r="D15" s="575"/>
      <c r="E15" s="575"/>
      <c r="F15" s="575"/>
      <c r="G15" s="575"/>
      <c r="H15" s="575"/>
      <c r="I15" s="575"/>
      <c r="J15" s="575"/>
      <c r="K15" s="575"/>
      <c r="L15" s="575"/>
      <c r="M15" s="575"/>
      <c r="N15" s="576"/>
    </row>
    <row r="16" spans="1:14" ht="174.75" customHeight="1">
      <c r="A16" s="26"/>
      <c r="B16" s="577" t="s">
        <v>7</v>
      </c>
      <c r="C16" s="578"/>
      <c r="D16" s="579" t="s">
        <v>8</v>
      </c>
      <c r="E16" s="579"/>
      <c r="F16" s="579"/>
      <c r="G16" s="579"/>
      <c r="H16" s="579"/>
      <c r="I16" s="580" t="s">
        <v>9</v>
      </c>
      <c r="J16" s="580"/>
      <c r="K16" s="580"/>
      <c r="L16" s="580"/>
      <c r="M16" s="580"/>
      <c r="N16" s="581"/>
    </row>
    <row r="17" spans="1:14">
      <c r="A17" s="26"/>
      <c r="B17" s="574" t="s">
        <v>10</v>
      </c>
      <c r="C17" s="575"/>
      <c r="D17" s="575"/>
      <c r="E17" s="575"/>
      <c r="F17" s="575"/>
      <c r="G17" s="575"/>
      <c r="H17" s="575"/>
      <c r="I17" s="575"/>
      <c r="J17" s="575"/>
      <c r="K17" s="575"/>
      <c r="L17" s="575"/>
      <c r="M17" s="575"/>
      <c r="N17" s="576"/>
    </row>
    <row r="18" spans="1:14" ht="58.5" customHeight="1">
      <c r="A18" s="26"/>
      <c r="B18" s="582" t="s">
        <v>11</v>
      </c>
      <c r="C18" s="583"/>
      <c r="D18" s="584" t="s">
        <v>12</v>
      </c>
      <c r="E18" s="584"/>
      <c r="F18" s="584"/>
      <c r="G18" s="584"/>
      <c r="H18" s="584"/>
      <c r="I18" s="585" t="s">
        <v>13</v>
      </c>
      <c r="J18" s="585"/>
      <c r="K18" s="585"/>
      <c r="L18" s="585"/>
      <c r="M18" s="585"/>
      <c r="N18" s="586"/>
    </row>
    <row r="19" spans="1:14" ht="149.1" customHeight="1">
      <c r="A19" s="26"/>
      <c r="B19" s="582" t="s">
        <v>14</v>
      </c>
      <c r="C19" s="583"/>
      <c r="D19" s="584" t="s">
        <v>15</v>
      </c>
      <c r="E19" s="584"/>
      <c r="F19" s="584"/>
      <c r="G19" s="584"/>
      <c r="H19" s="584"/>
      <c r="I19" s="585" t="s">
        <v>16</v>
      </c>
      <c r="J19" s="585"/>
      <c r="K19" s="585"/>
      <c r="L19" s="585"/>
      <c r="M19" s="585"/>
      <c r="N19" s="586"/>
    </row>
    <row r="20" spans="1:14" ht="73.5" customHeight="1">
      <c r="A20" s="26"/>
      <c r="B20" s="582" t="s">
        <v>17</v>
      </c>
      <c r="C20" s="583"/>
      <c r="D20" s="584" t="s">
        <v>18</v>
      </c>
      <c r="E20" s="584"/>
      <c r="F20" s="584"/>
      <c r="G20" s="584"/>
      <c r="H20" s="584"/>
      <c r="I20" s="587" t="s">
        <v>19</v>
      </c>
      <c r="J20" s="588"/>
      <c r="K20" s="588"/>
      <c r="L20" s="588"/>
      <c r="M20" s="588"/>
      <c r="N20" s="589"/>
    </row>
    <row r="21" spans="1:14" ht="65.45" customHeight="1">
      <c r="A21" s="26"/>
      <c r="B21" s="590" t="s">
        <v>20</v>
      </c>
      <c r="C21" s="591"/>
      <c r="D21" s="579" t="s">
        <v>21</v>
      </c>
      <c r="E21" s="579"/>
      <c r="F21" s="579"/>
      <c r="G21" s="579"/>
      <c r="H21" s="579"/>
      <c r="I21" s="592" t="s">
        <v>22</v>
      </c>
      <c r="J21" s="593"/>
      <c r="K21" s="593"/>
      <c r="L21" s="593"/>
      <c r="M21" s="593"/>
      <c r="N21" s="594"/>
    </row>
    <row r="22" spans="1:14">
      <c r="A22" s="26"/>
      <c r="B22" s="574" t="s">
        <v>23</v>
      </c>
      <c r="C22" s="575"/>
      <c r="D22" s="575"/>
      <c r="E22" s="575"/>
      <c r="F22" s="575"/>
      <c r="G22" s="575"/>
      <c r="H22" s="575"/>
      <c r="I22" s="575"/>
      <c r="J22" s="575"/>
      <c r="K22" s="575"/>
      <c r="L22" s="575"/>
      <c r="M22" s="575"/>
      <c r="N22" s="576"/>
    </row>
    <row r="23" spans="1:14" ht="102" customHeight="1">
      <c r="A23" s="26"/>
      <c r="B23" s="582" t="s">
        <v>24</v>
      </c>
      <c r="C23" s="583"/>
      <c r="D23" s="584" t="s">
        <v>25</v>
      </c>
      <c r="E23" s="584"/>
      <c r="F23" s="584"/>
      <c r="G23" s="584"/>
      <c r="H23" s="584"/>
      <c r="I23" s="585" t="s">
        <v>26</v>
      </c>
      <c r="J23" s="585"/>
      <c r="K23" s="585"/>
      <c r="L23" s="585"/>
      <c r="M23" s="585"/>
      <c r="N23" s="586"/>
    </row>
    <row r="24" spans="1:14" ht="255" customHeight="1">
      <c r="A24" s="26"/>
      <c r="B24" s="590" t="s">
        <v>27</v>
      </c>
      <c r="C24" s="591"/>
      <c r="D24" s="579" t="s">
        <v>28</v>
      </c>
      <c r="E24" s="579"/>
      <c r="F24" s="579"/>
      <c r="G24" s="579"/>
      <c r="H24" s="579"/>
      <c r="I24" s="580" t="s">
        <v>29</v>
      </c>
      <c r="J24" s="580"/>
      <c r="K24" s="580"/>
      <c r="L24" s="580"/>
      <c r="M24" s="580"/>
      <c r="N24" s="581"/>
    </row>
    <row r="25" spans="1:14">
      <c r="A25" s="26"/>
      <c r="B25" s="574" t="s">
        <v>30</v>
      </c>
      <c r="C25" s="575"/>
      <c r="D25" s="575"/>
      <c r="E25" s="575"/>
      <c r="F25" s="575"/>
      <c r="G25" s="575"/>
      <c r="H25" s="575"/>
      <c r="I25" s="575"/>
      <c r="J25" s="575"/>
      <c r="K25" s="575"/>
      <c r="L25" s="575"/>
      <c r="M25" s="575"/>
      <c r="N25" s="576"/>
    </row>
    <row r="26" spans="1:14" ht="144" customHeight="1">
      <c r="A26" s="26"/>
      <c r="B26" s="582" t="s">
        <v>31</v>
      </c>
      <c r="C26" s="583"/>
      <c r="D26" s="584" t="s">
        <v>32</v>
      </c>
      <c r="E26" s="584"/>
      <c r="F26" s="584"/>
      <c r="G26" s="584"/>
      <c r="H26" s="584"/>
      <c r="I26" s="585" t="s">
        <v>33</v>
      </c>
      <c r="J26" s="585"/>
      <c r="K26" s="585"/>
      <c r="L26" s="585"/>
      <c r="M26" s="585"/>
      <c r="N26" s="586"/>
    </row>
    <row r="27" spans="1:14" ht="183.95" customHeight="1">
      <c r="A27" s="26"/>
      <c r="B27" s="590" t="s">
        <v>34</v>
      </c>
      <c r="C27" s="591"/>
      <c r="D27" s="579" t="s">
        <v>35</v>
      </c>
      <c r="E27" s="579"/>
      <c r="F27" s="579"/>
      <c r="G27" s="579"/>
      <c r="H27" s="579"/>
      <c r="I27" s="580" t="s">
        <v>36</v>
      </c>
      <c r="J27" s="580"/>
      <c r="K27" s="580"/>
      <c r="L27" s="580"/>
      <c r="M27" s="580"/>
      <c r="N27" s="581"/>
    </row>
    <row r="28" spans="1:14">
      <c r="A28" s="26"/>
      <c r="B28" s="574" t="s">
        <v>37</v>
      </c>
      <c r="C28" s="575"/>
      <c r="D28" s="575"/>
      <c r="E28" s="575"/>
      <c r="F28" s="575"/>
      <c r="G28" s="575"/>
      <c r="H28" s="575"/>
      <c r="I28" s="575"/>
      <c r="J28" s="575"/>
      <c r="K28" s="575"/>
      <c r="L28" s="575"/>
      <c r="M28" s="575"/>
      <c r="N28" s="576"/>
    </row>
    <row r="29" spans="1:14" ht="92.25" customHeight="1">
      <c r="A29" s="26"/>
      <c r="B29" s="577" t="s">
        <v>38</v>
      </c>
      <c r="C29" s="578"/>
      <c r="D29" s="579" t="s">
        <v>39</v>
      </c>
      <c r="E29" s="579"/>
      <c r="F29" s="579"/>
      <c r="G29" s="579"/>
      <c r="H29" s="579"/>
      <c r="I29" s="580" t="s">
        <v>40</v>
      </c>
      <c r="J29" s="580"/>
      <c r="K29" s="580"/>
      <c r="L29" s="580"/>
      <c r="M29" s="580"/>
      <c r="N29" s="581"/>
    </row>
    <row r="30" spans="1:14">
      <c r="A30" s="26"/>
      <c r="B30" s="574" t="s">
        <v>41</v>
      </c>
      <c r="C30" s="575"/>
      <c r="D30" s="575"/>
      <c r="E30" s="575"/>
      <c r="F30" s="575"/>
      <c r="G30" s="575"/>
      <c r="H30" s="575"/>
      <c r="I30" s="575"/>
      <c r="J30" s="575"/>
      <c r="K30" s="575"/>
      <c r="L30" s="575"/>
      <c r="M30" s="575"/>
      <c r="N30" s="576"/>
    </row>
    <row r="31" spans="1:14" ht="99" customHeight="1">
      <c r="A31" s="26"/>
      <c r="B31" s="590" t="s">
        <v>42</v>
      </c>
      <c r="C31" s="591"/>
      <c r="D31" s="579" t="s">
        <v>43</v>
      </c>
      <c r="E31" s="579"/>
      <c r="F31" s="579"/>
      <c r="G31" s="579"/>
      <c r="H31" s="579"/>
      <c r="I31" s="580" t="s">
        <v>44</v>
      </c>
      <c r="J31" s="580"/>
      <c r="K31" s="580"/>
      <c r="L31" s="580"/>
      <c r="M31" s="580"/>
      <c r="N31" s="581"/>
    </row>
    <row r="32" spans="1:14">
      <c r="A32" s="26"/>
      <c r="B32" s="26"/>
      <c r="C32" s="26"/>
      <c r="D32" s="26"/>
      <c r="E32" s="26"/>
      <c r="F32" s="418"/>
      <c r="G32" s="26"/>
      <c r="H32" s="26"/>
      <c r="I32" s="26"/>
      <c r="J32" s="26"/>
      <c r="K32" s="26"/>
      <c r="L32" s="26"/>
      <c r="M32" s="26"/>
      <c r="N32" s="26"/>
    </row>
    <row r="33" spans="1:14">
      <c r="A33" s="26"/>
      <c r="B33" s="574" t="s">
        <v>45</v>
      </c>
      <c r="C33" s="575"/>
      <c r="D33" s="575"/>
      <c r="E33" s="575"/>
      <c r="F33" s="575"/>
      <c r="G33" s="575"/>
      <c r="H33" s="575"/>
      <c r="I33" s="575"/>
      <c r="J33" s="575"/>
      <c r="K33" s="575"/>
      <c r="L33" s="575"/>
      <c r="M33" s="575"/>
      <c r="N33" s="576"/>
    </row>
    <row r="34" spans="1:14" s="185" customFormat="1" ht="40.5" customHeight="1">
      <c r="A34" s="188"/>
      <c r="B34" s="191" t="s">
        <v>46</v>
      </c>
      <c r="C34" s="595" t="s">
        <v>47</v>
      </c>
      <c r="D34" s="595"/>
      <c r="E34" s="595"/>
      <c r="F34" s="192" t="s">
        <v>48</v>
      </c>
      <c r="G34" s="192" t="s">
        <v>49</v>
      </c>
      <c r="H34" s="192" t="s">
        <v>50</v>
      </c>
      <c r="I34" s="192" t="s">
        <v>51</v>
      </c>
      <c r="J34" s="192" t="s">
        <v>52</v>
      </c>
      <c r="K34" s="192" t="s">
        <v>53</v>
      </c>
      <c r="L34" s="192" t="s">
        <v>54</v>
      </c>
      <c r="M34" s="192" t="s">
        <v>55</v>
      </c>
      <c r="N34" s="193" t="s">
        <v>56</v>
      </c>
    </row>
    <row r="35" spans="1:14" ht="86.25" customHeight="1">
      <c r="A35" s="26"/>
      <c r="B35" s="613">
        <v>1</v>
      </c>
      <c r="C35" s="596" t="s">
        <v>57</v>
      </c>
      <c r="D35" s="596"/>
      <c r="E35" s="596"/>
      <c r="F35" s="194" t="s">
        <v>58</v>
      </c>
      <c r="G35" s="195" t="s">
        <v>59</v>
      </c>
      <c r="H35" s="195" t="s">
        <v>59</v>
      </c>
      <c r="I35" s="196" t="s">
        <v>59</v>
      </c>
      <c r="J35" s="196" t="s">
        <v>59</v>
      </c>
      <c r="K35" s="196" t="s">
        <v>59</v>
      </c>
      <c r="L35" s="196" t="s">
        <v>59</v>
      </c>
      <c r="M35" s="196" t="s">
        <v>59</v>
      </c>
      <c r="N35" s="197"/>
    </row>
    <row r="36" spans="1:14" ht="69" customHeight="1">
      <c r="A36" s="26"/>
      <c r="B36" s="614"/>
      <c r="C36" s="597" t="s">
        <v>60</v>
      </c>
      <c r="D36" s="597"/>
      <c r="E36" s="597"/>
      <c r="F36" s="194" t="s">
        <v>61</v>
      </c>
      <c r="G36" s="198" t="s">
        <v>59</v>
      </c>
      <c r="H36" s="198" t="s">
        <v>59</v>
      </c>
      <c r="I36" s="199" t="s">
        <v>59</v>
      </c>
      <c r="J36" s="199" t="s">
        <v>59</v>
      </c>
      <c r="K36" s="199" t="s">
        <v>59</v>
      </c>
      <c r="L36" s="199" t="s">
        <v>59</v>
      </c>
      <c r="M36" s="199" t="s">
        <v>59</v>
      </c>
      <c r="N36" s="200"/>
    </row>
    <row r="37" spans="1:14" ht="30.75" customHeight="1">
      <c r="A37" s="26"/>
      <c r="B37" s="614"/>
      <c r="C37" s="597" t="s">
        <v>62</v>
      </c>
      <c r="D37" s="597"/>
      <c r="E37" s="597"/>
      <c r="F37" s="194" t="s">
        <v>63</v>
      </c>
      <c r="G37" s="198" t="s">
        <v>59</v>
      </c>
      <c r="H37" s="198" t="s">
        <v>59</v>
      </c>
      <c r="I37" s="199" t="s">
        <v>59</v>
      </c>
      <c r="J37" s="199" t="s">
        <v>59</v>
      </c>
      <c r="K37" s="199" t="s">
        <v>59</v>
      </c>
      <c r="L37" s="199" t="s">
        <v>59</v>
      </c>
      <c r="M37" s="199" t="s">
        <v>59</v>
      </c>
      <c r="N37" s="200"/>
    </row>
    <row r="38" spans="1:14" ht="50.25" customHeight="1">
      <c r="A38" s="26"/>
      <c r="B38" s="614"/>
      <c r="C38" s="597" t="s">
        <v>64</v>
      </c>
      <c r="D38" s="597"/>
      <c r="E38" s="597"/>
      <c r="F38" s="194" t="s">
        <v>65</v>
      </c>
      <c r="G38" s="198" t="s">
        <v>59</v>
      </c>
      <c r="H38" s="198"/>
      <c r="I38" s="199"/>
      <c r="J38" s="199"/>
      <c r="K38" s="199"/>
      <c r="L38" s="199"/>
      <c r="M38" s="199"/>
      <c r="N38" s="200"/>
    </row>
    <row r="39" spans="1:14" ht="63" customHeight="1">
      <c r="A39" s="26"/>
      <c r="B39" s="614"/>
      <c r="C39" s="597" t="s">
        <v>66</v>
      </c>
      <c r="D39" s="597"/>
      <c r="E39" s="597"/>
      <c r="F39" s="194" t="s">
        <v>63</v>
      </c>
      <c r="G39" s="198" t="s">
        <v>59</v>
      </c>
      <c r="H39" s="198"/>
      <c r="I39" s="198"/>
      <c r="J39" s="198"/>
      <c r="K39" s="198"/>
      <c r="L39" s="198"/>
      <c r="M39" s="198"/>
      <c r="N39" s="201"/>
    </row>
    <row r="40" spans="1:14" ht="64.5" customHeight="1">
      <c r="A40" s="26"/>
      <c r="B40" s="614"/>
      <c r="C40" s="597" t="s">
        <v>67</v>
      </c>
      <c r="D40" s="597"/>
      <c r="E40" s="597"/>
      <c r="F40" s="194" t="s">
        <v>58</v>
      </c>
      <c r="G40" s="198" t="s">
        <v>59</v>
      </c>
      <c r="H40" s="198"/>
      <c r="I40" s="198"/>
      <c r="J40" s="198"/>
      <c r="K40" s="198"/>
      <c r="L40" s="198"/>
      <c r="M40" s="198"/>
      <c r="N40" s="201"/>
    </row>
    <row r="41" spans="1:14" ht="48" customHeight="1">
      <c r="A41" s="26"/>
      <c r="B41" s="614"/>
      <c r="C41" s="597" t="s">
        <v>68</v>
      </c>
      <c r="D41" s="597"/>
      <c r="E41" s="597"/>
      <c r="F41" s="194" t="s">
        <v>58</v>
      </c>
      <c r="G41" s="198" t="s">
        <v>59</v>
      </c>
      <c r="H41" s="198" t="s">
        <v>59</v>
      </c>
      <c r="I41" s="198" t="s">
        <v>59</v>
      </c>
      <c r="J41" s="198" t="s">
        <v>59</v>
      </c>
      <c r="K41" s="198" t="s">
        <v>59</v>
      </c>
      <c r="L41" s="198"/>
      <c r="M41" s="198"/>
      <c r="N41" s="201"/>
    </row>
    <row r="42" spans="1:14" ht="34.5" customHeight="1">
      <c r="A42" s="26"/>
      <c r="B42" s="614"/>
      <c r="C42" s="597" t="s">
        <v>69</v>
      </c>
      <c r="D42" s="597"/>
      <c r="E42" s="597"/>
      <c r="F42" s="194" t="s">
        <v>63</v>
      </c>
      <c r="G42" s="198" t="s">
        <v>59</v>
      </c>
      <c r="H42" s="198" t="s">
        <v>59</v>
      </c>
      <c r="I42" s="198" t="s">
        <v>59</v>
      </c>
      <c r="J42" s="198" t="s">
        <v>59</v>
      </c>
      <c r="K42" s="198" t="s">
        <v>59</v>
      </c>
      <c r="L42" s="198"/>
      <c r="M42" s="198"/>
      <c r="N42" s="201"/>
    </row>
    <row r="43" spans="1:14" ht="72" customHeight="1">
      <c r="A43" s="189"/>
      <c r="B43" s="614"/>
      <c r="C43" s="597" t="s">
        <v>70</v>
      </c>
      <c r="D43" s="597"/>
      <c r="E43" s="597"/>
      <c r="F43" s="194" t="s">
        <v>61</v>
      </c>
      <c r="G43" s="198" t="s">
        <v>59</v>
      </c>
      <c r="H43" s="202" t="s">
        <v>59</v>
      </c>
      <c r="I43" s="202" t="s">
        <v>59</v>
      </c>
      <c r="J43" s="202" t="s">
        <v>59</v>
      </c>
      <c r="K43" s="202" t="s">
        <v>59</v>
      </c>
      <c r="L43" s="202" t="s">
        <v>59</v>
      </c>
      <c r="M43" s="202" t="s">
        <v>59</v>
      </c>
      <c r="N43" s="201"/>
    </row>
    <row r="44" spans="1:14" ht="28.5">
      <c r="A44" s="189"/>
      <c r="B44" s="614"/>
      <c r="C44" s="597" t="s">
        <v>71</v>
      </c>
      <c r="D44" s="597"/>
      <c r="E44" s="597"/>
      <c r="F44" s="194" t="s">
        <v>72</v>
      </c>
      <c r="G44" s="198" t="s">
        <v>59</v>
      </c>
      <c r="H44" s="202" t="s">
        <v>59</v>
      </c>
      <c r="I44" s="202" t="s">
        <v>59</v>
      </c>
      <c r="J44" s="202" t="s">
        <v>59</v>
      </c>
      <c r="K44" s="202" t="s">
        <v>59</v>
      </c>
      <c r="L44" s="202" t="s">
        <v>59</v>
      </c>
      <c r="M44" s="202" t="s">
        <v>59</v>
      </c>
      <c r="N44" s="201"/>
    </row>
    <row r="45" spans="1:14" ht="40.5" customHeight="1">
      <c r="A45" s="189"/>
      <c r="B45" s="614"/>
      <c r="C45" s="597" t="s">
        <v>73</v>
      </c>
      <c r="D45" s="597"/>
      <c r="E45" s="597"/>
      <c r="F45" s="194" t="s">
        <v>74</v>
      </c>
      <c r="G45" s="198" t="s">
        <v>59</v>
      </c>
      <c r="H45" s="202"/>
      <c r="I45" s="202" t="s">
        <v>59</v>
      </c>
      <c r="J45" s="202"/>
      <c r="K45" s="202"/>
      <c r="L45" s="202"/>
      <c r="M45" s="202"/>
      <c r="N45" s="201"/>
    </row>
    <row r="46" spans="1:14" ht="28.5" customHeight="1">
      <c r="A46" s="189"/>
      <c r="B46" s="614"/>
      <c r="C46" s="597" t="s">
        <v>75</v>
      </c>
      <c r="D46" s="597"/>
      <c r="E46" s="597"/>
      <c r="F46" s="194" t="s">
        <v>76</v>
      </c>
      <c r="G46" s="198" t="s">
        <v>59</v>
      </c>
      <c r="H46" s="202" t="s">
        <v>59</v>
      </c>
      <c r="I46" s="202" t="s">
        <v>59</v>
      </c>
      <c r="J46" s="202" t="s">
        <v>59</v>
      </c>
      <c r="K46" s="202"/>
      <c r="L46" s="202" t="s">
        <v>59</v>
      </c>
      <c r="M46" s="202" t="s">
        <v>59</v>
      </c>
      <c r="N46" s="201"/>
    </row>
    <row r="47" spans="1:14" ht="43.5" customHeight="1">
      <c r="A47" s="189"/>
      <c r="B47" s="614"/>
      <c r="C47" s="597" t="s">
        <v>77</v>
      </c>
      <c r="D47" s="597"/>
      <c r="E47" s="597"/>
      <c r="F47" s="194" t="s">
        <v>65</v>
      </c>
      <c r="G47" s="198" t="s">
        <v>59</v>
      </c>
      <c r="H47" s="202"/>
      <c r="I47" s="202" t="s">
        <v>59</v>
      </c>
      <c r="J47" s="202" t="s">
        <v>59</v>
      </c>
      <c r="K47" s="202" t="s">
        <v>59</v>
      </c>
      <c r="L47" s="202"/>
      <c r="M47" s="202"/>
      <c r="N47" s="201"/>
    </row>
    <row r="48" spans="1:14" ht="95.25" customHeight="1">
      <c r="A48" s="612"/>
      <c r="B48" s="614"/>
      <c r="C48" s="597" t="s">
        <v>78</v>
      </c>
      <c r="D48" s="597"/>
      <c r="E48" s="597"/>
      <c r="F48" s="194" t="s">
        <v>79</v>
      </c>
      <c r="G48" s="198" t="s">
        <v>59</v>
      </c>
      <c r="H48" s="202"/>
      <c r="I48" s="202" t="s">
        <v>59</v>
      </c>
      <c r="J48" s="202" t="s">
        <v>59</v>
      </c>
      <c r="K48" s="202" t="s">
        <v>59</v>
      </c>
      <c r="L48" s="202"/>
      <c r="M48" s="202"/>
      <c r="N48" s="201"/>
    </row>
    <row r="49" spans="1:14" ht="43.9">
      <c r="A49" s="612"/>
      <c r="B49" s="615"/>
      <c r="C49" s="616"/>
      <c r="D49" s="616"/>
      <c r="E49" s="616"/>
      <c r="F49" s="203" t="s">
        <v>80</v>
      </c>
      <c r="G49" s="204" t="s">
        <v>59</v>
      </c>
      <c r="H49" s="205"/>
      <c r="I49" s="205" t="s">
        <v>59</v>
      </c>
      <c r="J49" s="205" t="s">
        <v>59</v>
      </c>
      <c r="K49" s="205" t="s">
        <v>59</v>
      </c>
      <c r="L49" s="205"/>
      <c r="M49" s="205"/>
      <c r="N49" s="206"/>
    </row>
    <row r="50" spans="1:14" ht="51.75" customHeight="1">
      <c r="A50" s="189"/>
      <c r="B50" s="207">
        <v>2</v>
      </c>
      <c r="C50" s="598" t="s">
        <v>81</v>
      </c>
      <c r="D50" s="598"/>
      <c r="E50" s="598"/>
      <c r="F50" s="208" t="s">
        <v>58</v>
      </c>
      <c r="G50" s="209" t="s">
        <v>59</v>
      </c>
      <c r="H50" s="210" t="s">
        <v>59</v>
      </c>
      <c r="I50" s="210" t="s">
        <v>59</v>
      </c>
      <c r="J50" s="210" t="s">
        <v>59</v>
      </c>
      <c r="K50" s="210" t="s">
        <v>59</v>
      </c>
      <c r="L50" s="210" t="s">
        <v>59</v>
      </c>
      <c r="M50" s="210" t="s">
        <v>59</v>
      </c>
      <c r="N50" s="211"/>
    </row>
    <row r="51" spans="1:14">
      <c r="A51" s="190"/>
      <c r="B51" s="212"/>
      <c r="C51" s="212"/>
      <c r="D51" s="212"/>
      <c r="E51" s="212"/>
      <c r="F51" s="213"/>
      <c r="G51" s="212"/>
      <c r="H51" s="26"/>
      <c r="I51" s="26"/>
      <c r="J51" s="26"/>
      <c r="K51" s="26"/>
      <c r="L51" s="26"/>
      <c r="M51" s="26"/>
      <c r="N51" s="26"/>
    </row>
    <row r="52" spans="1:14">
      <c r="A52" s="190"/>
      <c r="B52" s="26"/>
      <c r="C52" s="26"/>
      <c r="D52" s="26"/>
      <c r="E52" s="26"/>
      <c r="F52" s="418"/>
      <c r="G52" s="26"/>
      <c r="H52" s="26"/>
      <c r="I52" s="26"/>
      <c r="J52" s="26"/>
      <c r="K52" s="26"/>
      <c r="L52" s="26"/>
      <c r="M52" s="26"/>
      <c r="N52" s="26"/>
    </row>
    <row r="53" spans="1:14" ht="36" customHeight="1">
      <c r="A53" s="26"/>
      <c r="B53" s="599" t="s">
        <v>82</v>
      </c>
      <c r="C53" s="600"/>
      <c r="D53" s="600"/>
      <c r="E53" s="600"/>
      <c r="F53" s="600"/>
      <c r="G53" s="600"/>
      <c r="H53" s="600"/>
      <c r="I53" s="600"/>
      <c r="J53" s="600"/>
      <c r="K53" s="600"/>
      <c r="L53" s="600"/>
      <c r="M53" s="600"/>
      <c r="N53" s="601"/>
    </row>
    <row r="54" spans="1:14">
      <c r="A54" s="26"/>
      <c r="B54" s="421"/>
      <c r="C54" s="570"/>
      <c r="D54" s="570"/>
      <c r="E54" s="570"/>
      <c r="F54" s="570"/>
      <c r="G54" s="570"/>
      <c r="H54" s="570"/>
      <c r="I54" s="570"/>
      <c r="J54" s="570"/>
      <c r="K54" s="570"/>
      <c r="L54" s="570"/>
      <c r="M54" s="570"/>
      <c r="N54" s="422"/>
    </row>
    <row r="55" spans="1:14">
      <c r="A55" s="26"/>
      <c r="B55" s="423"/>
      <c r="C55" s="424"/>
      <c r="D55" s="424"/>
      <c r="E55" s="424"/>
      <c r="F55" s="420"/>
      <c r="G55" s="424"/>
      <c r="H55" s="424"/>
      <c r="I55" s="424"/>
      <c r="J55" s="424"/>
      <c r="K55" s="424"/>
      <c r="L55" s="424"/>
      <c r="M55" s="424"/>
      <c r="N55" s="425"/>
    </row>
    <row r="56" spans="1:14">
      <c r="A56" s="26"/>
      <c r="B56" s="423"/>
      <c r="C56" s="424"/>
      <c r="D56" s="424"/>
      <c r="E56" s="424"/>
      <c r="F56" s="420"/>
      <c r="G56" s="424"/>
      <c r="H56" s="424"/>
      <c r="I56" s="424"/>
      <c r="J56" s="424"/>
      <c r="K56" s="424"/>
      <c r="L56" s="424"/>
      <c r="M56" s="424"/>
      <c r="N56" s="425"/>
    </row>
    <row r="57" spans="1:14" ht="240" customHeight="1">
      <c r="A57" s="26"/>
      <c r="B57" s="426"/>
      <c r="C57" s="427"/>
      <c r="D57" s="427"/>
      <c r="E57" s="427"/>
      <c r="F57" s="428"/>
      <c r="G57" s="427"/>
      <c r="H57" s="427"/>
      <c r="I57" s="427"/>
      <c r="J57" s="427"/>
      <c r="K57" s="427"/>
      <c r="L57" s="427"/>
      <c r="M57" s="427"/>
      <c r="N57" s="429"/>
    </row>
    <row r="58" spans="1:14" ht="47.25" customHeight="1">
      <c r="A58" s="26"/>
      <c r="B58" s="571" t="s">
        <v>83</v>
      </c>
      <c r="C58" s="572"/>
      <c r="D58" s="572"/>
      <c r="E58" s="572"/>
      <c r="F58" s="572"/>
      <c r="G58" s="572"/>
      <c r="H58" s="572"/>
      <c r="I58" s="572"/>
      <c r="J58" s="572"/>
      <c r="K58" s="572"/>
      <c r="L58" s="572"/>
      <c r="M58" s="572"/>
      <c r="N58" s="573"/>
    </row>
    <row r="59" spans="1:14">
      <c r="A59" s="26"/>
      <c r="B59" s="574" t="s">
        <v>6</v>
      </c>
      <c r="C59" s="575"/>
      <c r="D59" s="575"/>
      <c r="E59" s="575"/>
      <c r="F59" s="575"/>
      <c r="G59" s="575"/>
      <c r="H59" s="575"/>
      <c r="I59" s="575"/>
      <c r="J59" s="575"/>
      <c r="K59" s="575"/>
      <c r="L59" s="575"/>
      <c r="M59" s="575"/>
      <c r="N59" s="576"/>
    </row>
    <row r="60" spans="1:14" ht="38.25" customHeight="1">
      <c r="A60" s="26"/>
      <c r="B60" s="590" t="s">
        <v>7</v>
      </c>
      <c r="C60" s="591"/>
      <c r="D60" s="579" t="s">
        <v>8</v>
      </c>
      <c r="E60" s="579"/>
      <c r="F60" s="579"/>
      <c r="G60" s="579"/>
      <c r="H60" s="579"/>
      <c r="I60" s="580" t="s">
        <v>84</v>
      </c>
      <c r="J60" s="580"/>
      <c r="K60" s="580"/>
      <c r="L60" s="580"/>
      <c r="M60" s="580"/>
      <c r="N60" s="581"/>
    </row>
    <row r="61" spans="1:14">
      <c r="A61" s="26"/>
      <c r="B61" s="574" t="s">
        <v>85</v>
      </c>
      <c r="C61" s="575"/>
      <c r="D61" s="575"/>
      <c r="E61" s="575"/>
      <c r="F61" s="575"/>
      <c r="G61" s="575"/>
      <c r="H61" s="575"/>
      <c r="I61" s="575"/>
      <c r="J61" s="575"/>
      <c r="K61" s="575"/>
      <c r="L61" s="575"/>
      <c r="M61" s="575"/>
      <c r="N61" s="576"/>
    </row>
    <row r="62" spans="1:14" ht="43.5" customHeight="1">
      <c r="A62" s="26"/>
      <c r="B62" s="602" t="s">
        <v>86</v>
      </c>
      <c r="C62" s="603"/>
      <c r="D62" s="584" t="s">
        <v>87</v>
      </c>
      <c r="E62" s="584"/>
      <c r="F62" s="584"/>
      <c r="G62" s="584"/>
      <c r="H62" s="584"/>
      <c r="I62" s="585" t="s">
        <v>88</v>
      </c>
      <c r="J62" s="585"/>
      <c r="K62" s="585"/>
      <c r="L62" s="585"/>
      <c r="M62" s="585"/>
      <c r="N62" s="586"/>
    </row>
    <row r="63" spans="1:14" ht="42.6" customHeight="1">
      <c r="A63" s="26"/>
      <c r="B63" s="602" t="s">
        <v>89</v>
      </c>
      <c r="C63" s="603"/>
      <c r="D63" s="584" t="s">
        <v>90</v>
      </c>
      <c r="E63" s="584"/>
      <c r="F63" s="584"/>
      <c r="G63" s="584"/>
      <c r="H63" s="584"/>
      <c r="I63" s="585" t="s">
        <v>91</v>
      </c>
      <c r="J63" s="585"/>
      <c r="K63" s="585"/>
      <c r="L63" s="585"/>
      <c r="M63" s="585"/>
      <c r="N63" s="586"/>
    </row>
    <row r="64" spans="1:14" ht="48.75" customHeight="1">
      <c r="A64" s="26"/>
      <c r="B64" s="602" t="s">
        <v>92</v>
      </c>
      <c r="C64" s="603"/>
      <c r="D64" s="584" t="s">
        <v>93</v>
      </c>
      <c r="E64" s="584"/>
      <c r="F64" s="584"/>
      <c r="G64" s="584"/>
      <c r="H64" s="584"/>
      <c r="I64" s="587" t="s">
        <v>94</v>
      </c>
      <c r="J64" s="588"/>
      <c r="K64" s="588"/>
      <c r="L64" s="588"/>
      <c r="M64" s="588"/>
      <c r="N64" s="589"/>
    </row>
    <row r="65" spans="1:14" ht="60.95" customHeight="1">
      <c r="A65" s="26"/>
      <c r="B65" s="602" t="s">
        <v>95</v>
      </c>
      <c r="C65" s="603"/>
      <c r="D65" s="584" t="s">
        <v>96</v>
      </c>
      <c r="E65" s="584"/>
      <c r="F65" s="584"/>
      <c r="G65" s="584"/>
      <c r="H65" s="584"/>
      <c r="I65" s="587" t="s">
        <v>97</v>
      </c>
      <c r="J65" s="588"/>
      <c r="K65" s="588"/>
      <c r="L65" s="588"/>
      <c r="M65" s="588"/>
      <c r="N65" s="589"/>
    </row>
    <row r="66" spans="1:14" ht="48.75" customHeight="1">
      <c r="A66" s="26"/>
      <c r="B66" s="602" t="s">
        <v>56</v>
      </c>
      <c r="C66" s="603"/>
      <c r="D66" s="584" t="s">
        <v>98</v>
      </c>
      <c r="E66" s="584"/>
      <c r="F66" s="584"/>
      <c r="G66" s="584"/>
      <c r="H66" s="584"/>
      <c r="I66" s="587" t="s">
        <v>99</v>
      </c>
      <c r="J66" s="588"/>
      <c r="K66" s="588"/>
      <c r="L66" s="588"/>
      <c r="M66" s="588"/>
      <c r="N66" s="589"/>
    </row>
    <row r="67" spans="1:14" ht="18" customHeight="1">
      <c r="A67" s="26"/>
      <c r="B67" s="574" t="s">
        <v>100</v>
      </c>
      <c r="C67" s="575"/>
      <c r="D67" s="575"/>
      <c r="E67" s="575"/>
      <c r="F67" s="575"/>
      <c r="G67" s="575"/>
      <c r="H67" s="575"/>
      <c r="I67" s="575"/>
      <c r="J67" s="575"/>
      <c r="K67" s="575"/>
      <c r="L67" s="575"/>
      <c r="M67" s="575"/>
      <c r="N67" s="576"/>
    </row>
    <row r="68" spans="1:14" ht="45.95" customHeight="1">
      <c r="A68" s="26"/>
      <c r="B68" s="602" t="s">
        <v>101</v>
      </c>
      <c r="C68" s="603"/>
      <c r="D68" s="584" t="s">
        <v>102</v>
      </c>
      <c r="E68" s="584"/>
      <c r="F68" s="584"/>
      <c r="G68" s="584"/>
      <c r="H68" s="584"/>
      <c r="I68" s="587" t="s">
        <v>103</v>
      </c>
      <c r="J68" s="588"/>
      <c r="K68" s="588"/>
      <c r="L68" s="588"/>
      <c r="M68" s="588"/>
      <c r="N68" s="589"/>
    </row>
    <row r="69" spans="1:14" ht="45.95" customHeight="1">
      <c r="A69" s="26"/>
      <c r="B69" s="602" t="s">
        <v>104</v>
      </c>
      <c r="C69" s="603"/>
      <c r="D69" s="584" t="s">
        <v>105</v>
      </c>
      <c r="E69" s="584"/>
      <c r="F69" s="584"/>
      <c r="G69" s="584"/>
      <c r="H69" s="584"/>
      <c r="I69" s="587" t="s">
        <v>106</v>
      </c>
      <c r="J69" s="588"/>
      <c r="K69" s="588"/>
      <c r="L69" s="588"/>
      <c r="M69" s="588"/>
      <c r="N69" s="589"/>
    </row>
    <row r="70" spans="1:14" ht="45.95" customHeight="1">
      <c r="A70" s="26"/>
      <c r="B70" s="602" t="s">
        <v>107</v>
      </c>
      <c r="C70" s="603"/>
      <c r="D70" s="579" t="s">
        <v>108</v>
      </c>
      <c r="E70" s="579"/>
      <c r="F70" s="579"/>
      <c r="G70" s="579"/>
      <c r="H70" s="579"/>
      <c r="I70" s="580" t="s">
        <v>109</v>
      </c>
      <c r="J70" s="580"/>
      <c r="K70" s="580"/>
      <c r="L70" s="580"/>
      <c r="M70" s="580"/>
      <c r="N70" s="581"/>
    </row>
    <row r="71" spans="1:14">
      <c r="A71" s="26"/>
      <c r="B71" s="604" t="s">
        <v>110</v>
      </c>
      <c r="C71" s="605"/>
      <c r="D71" s="605"/>
      <c r="E71" s="605"/>
      <c r="F71" s="605"/>
      <c r="G71" s="605"/>
      <c r="H71" s="605"/>
      <c r="I71" s="605"/>
      <c r="J71" s="605"/>
      <c r="K71" s="605"/>
      <c r="L71" s="605"/>
      <c r="M71" s="605"/>
      <c r="N71" s="606"/>
    </row>
    <row r="72" spans="1:14" ht="42.75" customHeight="1">
      <c r="A72" s="26"/>
      <c r="B72" s="607" t="s">
        <v>111</v>
      </c>
      <c r="C72" s="608"/>
      <c r="D72" s="609" t="s">
        <v>112</v>
      </c>
      <c r="E72" s="609"/>
      <c r="F72" s="609"/>
      <c r="G72" s="609"/>
      <c r="H72" s="609"/>
      <c r="I72" s="610" t="s">
        <v>113</v>
      </c>
      <c r="J72" s="610"/>
      <c r="K72" s="610"/>
      <c r="L72" s="610"/>
      <c r="M72" s="610"/>
      <c r="N72" s="611"/>
    </row>
    <row r="73" spans="1:14" ht="45.75" customHeight="1">
      <c r="A73" s="26"/>
      <c r="B73" s="602" t="s">
        <v>114</v>
      </c>
      <c r="C73" s="603"/>
      <c r="D73" s="584" t="s">
        <v>115</v>
      </c>
      <c r="E73" s="584"/>
      <c r="F73" s="584"/>
      <c r="G73" s="584"/>
      <c r="H73" s="584"/>
      <c r="I73" s="585" t="s">
        <v>116</v>
      </c>
      <c r="J73" s="585"/>
      <c r="K73" s="585"/>
      <c r="L73" s="585"/>
      <c r="M73" s="585"/>
      <c r="N73" s="586"/>
    </row>
    <row r="74" spans="1:14" ht="42" customHeight="1">
      <c r="A74" s="26"/>
      <c r="B74" s="602" t="s">
        <v>117</v>
      </c>
      <c r="C74" s="603"/>
      <c r="D74" s="584" t="s">
        <v>118</v>
      </c>
      <c r="E74" s="584"/>
      <c r="F74" s="584"/>
      <c r="G74" s="584"/>
      <c r="H74" s="584"/>
      <c r="I74" s="585" t="s">
        <v>119</v>
      </c>
      <c r="J74" s="585"/>
      <c r="K74" s="585"/>
      <c r="L74" s="585"/>
      <c r="M74" s="585"/>
      <c r="N74" s="586"/>
    </row>
    <row r="75" spans="1:14" ht="44.25" customHeight="1">
      <c r="A75" s="26"/>
      <c r="B75" s="602" t="s">
        <v>120</v>
      </c>
      <c r="C75" s="603"/>
      <c r="D75" s="584" t="s">
        <v>121</v>
      </c>
      <c r="E75" s="584"/>
      <c r="F75" s="584"/>
      <c r="G75" s="584"/>
      <c r="H75" s="584"/>
      <c r="I75" s="585" t="s">
        <v>122</v>
      </c>
      <c r="J75" s="585"/>
      <c r="K75" s="585"/>
      <c r="L75" s="585"/>
      <c r="M75" s="585"/>
      <c r="N75" s="586"/>
    </row>
    <row r="76" spans="1:14" ht="54.75" customHeight="1">
      <c r="A76" s="26"/>
      <c r="B76" s="602" t="s">
        <v>123</v>
      </c>
      <c r="C76" s="603"/>
      <c r="D76" s="584" t="s">
        <v>124</v>
      </c>
      <c r="E76" s="584"/>
      <c r="F76" s="584"/>
      <c r="G76" s="584"/>
      <c r="H76" s="584"/>
      <c r="I76" s="585" t="s">
        <v>125</v>
      </c>
      <c r="J76" s="585"/>
      <c r="K76" s="585"/>
      <c r="L76" s="585"/>
      <c r="M76" s="585"/>
      <c r="N76" s="586"/>
    </row>
    <row r="77" spans="1:14" ht="45" customHeight="1">
      <c r="A77" s="26"/>
      <c r="B77" s="602" t="s">
        <v>126</v>
      </c>
      <c r="C77" s="603"/>
      <c r="D77" s="584" t="s">
        <v>127</v>
      </c>
      <c r="E77" s="584"/>
      <c r="F77" s="584"/>
      <c r="G77" s="584"/>
      <c r="H77" s="584"/>
      <c r="I77" s="585" t="s">
        <v>125</v>
      </c>
      <c r="J77" s="585"/>
      <c r="K77" s="585"/>
      <c r="L77" s="585"/>
      <c r="M77" s="585"/>
      <c r="N77" s="586"/>
    </row>
    <row r="78" spans="1:14" ht="45" customHeight="1">
      <c r="A78" s="26"/>
      <c r="B78" s="582" t="s">
        <v>128</v>
      </c>
      <c r="C78" s="583"/>
      <c r="D78" s="584" t="s">
        <v>129</v>
      </c>
      <c r="E78" s="584"/>
      <c r="F78" s="584"/>
      <c r="G78" s="584"/>
      <c r="H78" s="584"/>
      <c r="I78" s="585" t="s">
        <v>130</v>
      </c>
      <c r="J78" s="585"/>
      <c r="K78" s="585"/>
      <c r="L78" s="585"/>
      <c r="M78" s="585"/>
      <c r="N78" s="586"/>
    </row>
    <row r="79" spans="1:14" ht="45" customHeight="1">
      <c r="A79" s="26"/>
      <c r="B79" s="582" t="s">
        <v>131</v>
      </c>
      <c r="C79" s="583"/>
      <c r="D79" s="584" t="s">
        <v>132</v>
      </c>
      <c r="E79" s="584"/>
      <c r="F79" s="584"/>
      <c r="G79" s="584"/>
      <c r="H79" s="584"/>
      <c r="I79" s="585" t="s">
        <v>133</v>
      </c>
      <c r="J79" s="585"/>
      <c r="K79" s="585"/>
      <c r="L79" s="585"/>
      <c r="M79" s="585"/>
      <c r="N79" s="586"/>
    </row>
    <row r="80" spans="1:14" ht="45" customHeight="1">
      <c r="A80" s="26"/>
      <c r="B80" s="582" t="s">
        <v>134</v>
      </c>
      <c r="C80" s="583"/>
      <c r="D80" s="584" t="s">
        <v>135</v>
      </c>
      <c r="E80" s="584"/>
      <c r="F80" s="584"/>
      <c r="G80" s="584"/>
      <c r="H80" s="584"/>
      <c r="I80" s="585" t="s">
        <v>136</v>
      </c>
      <c r="J80" s="585"/>
      <c r="K80" s="585"/>
      <c r="L80" s="585"/>
      <c r="M80" s="585"/>
      <c r="N80" s="586"/>
    </row>
    <row r="81" spans="1:14" ht="45" customHeight="1">
      <c r="A81" s="26"/>
      <c r="B81" s="582" t="s">
        <v>137</v>
      </c>
      <c r="C81" s="583"/>
      <c r="D81" s="584" t="s">
        <v>138</v>
      </c>
      <c r="E81" s="584"/>
      <c r="F81" s="584"/>
      <c r="G81" s="584"/>
      <c r="H81" s="584"/>
      <c r="I81" s="585" t="s">
        <v>139</v>
      </c>
      <c r="J81" s="585"/>
      <c r="K81" s="585"/>
      <c r="L81" s="585"/>
      <c r="M81" s="585"/>
      <c r="N81" s="586"/>
    </row>
    <row r="82" spans="1:14" ht="60.75" customHeight="1">
      <c r="A82" s="26"/>
      <c r="B82" s="590" t="s">
        <v>140</v>
      </c>
      <c r="C82" s="591"/>
      <c r="D82" s="579" t="s">
        <v>141</v>
      </c>
      <c r="E82" s="579"/>
      <c r="F82" s="579"/>
      <c r="G82" s="579"/>
      <c r="H82" s="579"/>
      <c r="I82" s="580" t="s">
        <v>142</v>
      </c>
      <c r="J82" s="580"/>
      <c r="K82" s="580"/>
      <c r="L82" s="580"/>
      <c r="M82" s="580"/>
      <c r="N82" s="581"/>
    </row>
  </sheetData>
  <sheetProtection algorithmName="SHA-512" hashValue="t1vQWUI3PdbTKlGUn4Cev0NRV6KVonIqVKC01KuTVR/F8JjTuQZIsHZyASqnJYk1GoMZibod5F4zMt9i/B4A+Q==" saltValue="mJYMAXksGBnkqx1/hvGotA==" spinCount="100000" sheet="1" objects="1" scenarios="1"/>
  <mergeCells count="132">
    <mergeCell ref="B82:C82"/>
    <mergeCell ref="D82:H82"/>
    <mergeCell ref="I82:N82"/>
    <mergeCell ref="A48:A49"/>
    <mergeCell ref="B35:B49"/>
    <mergeCell ref="C48:E49"/>
    <mergeCell ref="B2:N3"/>
    <mergeCell ref="B79:C79"/>
    <mergeCell ref="D79:H79"/>
    <mergeCell ref="I79:N79"/>
    <mergeCell ref="B80:C80"/>
    <mergeCell ref="D80:H80"/>
    <mergeCell ref="I80:N80"/>
    <mergeCell ref="B81:C81"/>
    <mergeCell ref="D81:H81"/>
    <mergeCell ref="I81:N81"/>
    <mergeCell ref="B76:C76"/>
    <mergeCell ref="D76:H76"/>
    <mergeCell ref="I76:N76"/>
    <mergeCell ref="B77:C77"/>
    <mergeCell ref="D77:H77"/>
    <mergeCell ref="I77:N77"/>
    <mergeCell ref="B78:C78"/>
    <mergeCell ref="D78:H78"/>
    <mergeCell ref="I78:N78"/>
    <mergeCell ref="B73:C73"/>
    <mergeCell ref="D73:H73"/>
    <mergeCell ref="I73:N73"/>
    <mergeCell ref="B74:C74"/>
    <mergeCell ref="D74:H74"/>
    <mergeCell ref="I74:N74"/>
    <mergeCell ref="B75:C75"/>
    <mergeCell ref="D75:H75"/>
    <mergeCell ref="I75:N75"/>
    <mergeCell ref="B69:C69"/>
    <mergeCell ref="D69:H69"/>
    <mergeCell ref="I69:N69"/>
    <mergeCell ref="B70:C70"/>
    <mergeCell ref="D70:H70"/>
    <mergeCell ref="I70:N70"/>
    <mergeCell ref="B71:N71"/>
    <mergeCell ref="B72:C72"/>
    <mergeCell ref="D72:H72"/>
    <mergeCell ref="I72:N72"/>
    <mergeCell ref="B65:C65"/>
    <mergeCell ref="D65:H65"/>
    <mergeCell ref="I65:N65"/>
    <mergeCell ref="B66:C66"/>
    <mergeCell ref="D66:H66"/>
    <mergeCell ref="I66:N66"/>
    <mergeCell ref="B67:N67"/>
    <mergeCell ref="B68:C68"/>
    <mergeCell ref="D68:H68"/>
    <mergeCell ref="I68:N68"/>
    <mergeCell ref="B61:N61"/>
    <mergeCell ref="B62:C62"/>
    <mergeCell ref="D62:H62"/>
    <mergeCell ref="I62:N62"/>
    <mergeCell ref="B63:C63"/>
    <mergeCell ref="D63:H63"/>
    <mergeCell ref="I63:N63"/>
    <mergeCell ref="B64:C64"/>
    <mergeCell ref="D64:H64"/>
    <mergeCell ref="I64:N64"/>
    <mergeCell ref="C47:E47"/>
    <mergeCell ref="C50:E50"/>
    <mergeCell ref="B53:N53"/>
    <mergeCell ref="C54:M54"/>
    <mergeCell ref="B58:N58"/>
    <mergeCell ref="B59:N59"/>
    <mergeCell ref="B60:C60"/>
    <mergeCell ref="D60:H60"/>
    <mergeCell ref="I60:N60"/>
    <mergeCell ref="C38:E38"/>
    <mergeCell ref="C39:E39"/>
    <mergeCell ref="C40:E40"/>
    <mergeCell ref="C41:E41"/>
    <mergeCell ref="C42:E42"/>
    <mergeCell ref="C43:E43"/>
    <mergeCell ref="C44:E44"/>
    <mergeCell ref="C45:E45"/>
    <mergeCell ref="C46:E46"/>
    <mergeCell ref="B30:N30"/>
    <mergeCell ref="B31:C31"/>
    <mergeCell ref="D31:H31"/>
    <mergeCell ref="I31:N31"/>
    <mergeCell ref="B33:N33"/>
    <mergeCell ref="C34:E34"/>
    <mergeCell ref="C35:E35"/>
    <mergeCell ref="C36:E36"/>
    <mergeCell ref="C37:E37"/>
    <mergeCell ref="B25:N25"/>
    <mergeCell ref="B26:C26"/>
    <mergeCell ref="D26:H26"/>
    <mergeCell ref="I26:N26"/>
    <mergeCell ref="B27:C27"/>
    <mergeCell ref="D27:H27"/>
    <mergeCell ref="I27:N27"/>
    <mergeCell ref="B28:N28"/>
    <mergeCell ref="B29:C29"/>
    <mergeCell ref="D29:H29"/>
    <mergeCell ref="I29:N29"/>
    <mergeCell ref="B21:C21"/>
    <mergeCell ref="D21:H21"/>
    <mergeCell ref="I21:N21"/>
    <mergeCell ref="B22:N22"/>
    <mergeCell ref="B23:C23"/>
    <mergeCell ref="D23:H23"/>
    <mergeCell ref="I23:N23"/>
    <mergeCell ref="B24:C24"/>
    <mergeCell ref="D24:H24"/>
    <mergeCell ref="I24:N24"/>
    <mergeCell ref="B17:N17"/>
    <mergeCell ref="B18:C18"/>
    <mergeCell ref="D18:H18"/>
    <mergeCell ref="I18:N18"/>
    <mergeCell ref="B19:C19"/>
    <mergeCell ref="D19:H19"/>
    <mergeCell ref="I19:N19"/>
    <mergeCell ref="B20:C20"/>
    <mergeCell ref="D20:H20"/>
    <mergeCell ref="I20:N20"/>
    <mergeCell ref="B5:N5"/>
    <mergeCell ref="B6:N6"/>
    <mergeCell ref="B7:N7"/>
    <mergeCell ref="B9:N9"/>
    <mergeCell ref="C10:M10"/>
    <mergeCell ref="B14:N14"/>
    <mergeCell ref="B15:N15"/>
    <mergeCell ref="B16:C16"/>
    <mergeCell ref="D16:H16"/>
    <mergeCell ref="I16:N16"/>
  </mergeCells>
  <hyperlinks>
    <hyperlink ref="B16:C16" location="'HC CORPORATIVA-INCERTIDUMBRE'!B5" display="Datos Generales" xr:uid="{00000000-0004-0000-0000-000000000000}"/>
    <hyperlink ref="B18:C18" location="'HC CORPORATIVA-INCERTIDUMBRE'!B14" display="Fuente de Emisión de GEI" xr:uid="{00000000-0004-0000-0000-000001000000}"/>
    <hyperlink ref="B21:C21" location="'HC CORPORATIVA-INCERTIDUMBRE'!C15" display="Datos de Actividad" xr:uid="{00000000-0004-0000-0000-000002000000}"/>
    <hyperlink ref="B23:C23" location="'HC CORPORATIVA-INCERTIDUMBRE'!E15" display="Unidad" xr:uid="{00000000-0004-0000-0000-000003000000}"/>
    <hyperlink ref="B24:C24" location="'HC CORPORATIVA-INCERTIDUMBRE'!F15" display="Dato 1 al 12" xr:uid="{00000000-0004-0000-0000-000004000000}"/>
    <hyperlink ref="B26:C26" location="'HC CORPORATIVA-INCERTIDUMBRE'!X15" display="Incertidumbre sistémica de datos" xr:uid="{00000000-0004-0000-0000-000005000000}"/>
    <hyperlink ref="B27:C27" location="'HC CORPORATIVA-INCERTIDUMBRE'!Y15" display="Incertidumbre de los datos" xr:uid="{00000000-0004-0000-0000-000006000000}"/>
    <hyperlink ref="B29:C29" location="'HC CORPORATIVA-INCERTIDUMBRE'!AA15" display="Huella de Carbono  " xr:uid="{00000000-0004-0000-0000-000007000000}"/>
    <hyperlink ref="B31:C31" location="'HC CORPORATIVA-INCERTIDUMBRE'!AB15" display="Incertidumbre de la fuente " xr:uid="{00000000-0004-0000-0000-000008000000}"/>
    <hyperlink ref="B19:C19" location="'HC CORPORATIVA-INCERTIDUMBRE'!C15" display="Tipo de Reporte" xr:uid="{00000000-0004-0000-0000-000009000000}"/>
    <hyperlink ref="B20:C20" location="'HC CORPORATIVA-INCERTIDUMBRE'!C15" display="Emisiones de GEI" xr:uid="{00000000-0004-0000-0000-00000A000000}"/>
    <hyperlink ref="B60:C60" location="'HC CORPORATIVA-INCERTIDUMBRE'!B5" display="Datos Generales" xr:uid="{00000000-0004-0000-0000-00000B000000}"/>
    <hyperlink ref="B65:C65" location="'HC CORPORATIVA-INCERTIDUMBRE'!C15" display="Descripción de la información de respaldo y Declaración de Verificación" xr:uid="{00000000-0004-0000-0000-00000C000000}"/>
    <hyperlink ref="B66:C66" location="'HC CORPORATIVA-INCERTIDUMBRE'!C15" display="Observaciones" xr:uid="{00000000-0004-0000-0000-00000D000000}"/>
    <hyperlink ref="B63:C63" location="'HC CORPORATIVA-INCERTIDUMBRE'!C15" display="Fecha de inicio de operaciones (dd/mm/aa)" xr:uid="{00000000-0004-0000-0000-00000E000000}"/>
    <hyperlink ref="B64:C64" location="'HC CORPORATIVA-INCERTIDUMBRE'!C15" display="Descripción de la Acción de Mitigación" xr:uid="{00000000-0004-0000-0000-00000F000000}"/>
    <hyperlink ref="B82:C82" location="'HC CORPORATIVA-INCERTIDUMBRE'!C15" display="Descripción de comprobante de compra y Declaración de Verificación" xr:uid="{00000000-0004-0000-0000-000010000000}"/>
    <hyperlink ref="B78:C78" location="'HC CORPORATIVA-INCERTIDUMBRE'!C15" display="Breve descripción del proyecto" xr:uid="{00000000-0004-0000-0000-000011000000}"/>
    <hyperlink ref="B77:C77" location="'HC CORPORATIVA-INCERTIDUMBRE'!C15" display="Vida útil del proyecto" xr:uid="{00000000-0004-0000-0000-000012000000}"/>
    <hyperlink ref="B75:C75" location="'HC CORPORATIVA-INCERTIDUMBRE'!C15" display="Esquema utilizado" xr:uid="{00000000-0004-0000-0000-000013000000}"/>
    <hyperlink ref="B73:C73" location="'HC CORPORATIVA-INCERTIDUMBRE'!C15" display="Número de serie/identificador" xr:uid="{00000000-0004-0000-0000-000014000000}"/>
    <hyperlink ref="B74:C74" location="'HC CORPORATIVA-INCERTIDUMBRE'!C15" display="País" xr:uid="{00000000-0004-0000-0000-000015000000}"/>
    <hyperlink ref="B68:C68" location="'HC CORPORATIVA-INCERTIDUMBRE'!C15" display="Descripción de la Remoción" xr:uid="{00000000-0004-0000-0000-000016000000}"/>
    <hyperlink ref="B69:C69" location="'HC CORPORATIVA-INCERTIDUMBRE'!C15" display="Descripción de la Declaración de Verificación" xr:uid="{00000000-0004-0000-0000-000017000000}"/>
    <hyperlink ref="B70:C70" location="'HC CORPORATIVA-INCERTIDUMBRE'!C15" display="Remoción realizada" xr:uid="{00000000-0004-0000-0000-000018000000}"/>
    <hyperlink ref="B76:C76" location="'HC CORPORATIVA-INCERTIDUMBRE'!C15" display="Fecha de inicio de proyecto (dd/mm/aa)" xr:uid="{00000000-0004-0000-0000-000019000000}"/>
    <hyperlink ref="B79:C79" location="'HC CORPORATIVA-INCERTIDUMBRE'!C15" display="Gases cubiertos por el proyecto" xr:uid="{00000000-0004-0000-0000-00001A000000}"/>
    <hyperlink ref="B80:C80" location="'HC CORPORATIVA-INCERTIDUMBRE'!C15" display="Inversión realizada (USD)" xr:uid="{00000000-0004-0000-0000-00001B000000}"/>
    <hyperlink ref="B81:C81" location="'HC CORPORATIVA-INCERTIDUMBRE'!C15" display="Compensación realizada (t CO2 eq)" xr:uid="{00000000-0004-0000-0000-00001C00000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2FB9CE"/>
  </sheetPr>
  <dimension ref="A1:XFC473"/>
  <sheetViews>
    <sheetView tabSelected="1" view="pageBreakPreview" topLeftCell="A101" zoomScale="54" zoomScaleNormal="80" zoomScaleSheetLayoutView="54" workbookViewId="0">
      <selection activeCell="E119" sqref="E119"/>
    </sheetView>
  </sheetViews>
  <sheetFormatPr defaultColWidth="11.375" defaultRowHeight="14.25"/>
  <cols>
    <col min="1" max="1" width="5.375" style="19" customWidth="1"/>
    <col min="2" max="2" width="37.875" style="35" customWidth="1"/>
    <col min="3" max="3" width="17.375" style="35" customWidth="1"/>
    <col min="4" max="4" width="49.875" style="35" customWidth="1"/>
    <col min="5" max="5" width="59.375" style="35" customWidth="1"/>
    <col min="6" max="6" width="21.125" style="35" customWidth="1"/>
    <col min="7" max="18" width="15.875" style="35" customWidth="1"/>
    <col min="19" max="19" width="16.375" style="35" customWidth="1"/>
    <col min="20" max="20" width="10" style="35" customWidth="1"/>
    <col min="21" max="21" width="13.375" style="35" customWidth="1"/>
    <col min="22" max="22" width="13" style="35" customWidth="1"/>
    <col min="23" max="23" width="11.375" style="35" customWidth="1"/>
    <col min="24" max="24" width="20.25" style="39" customWidth="1"/>
    <col min="25" max="25" width="17" style="35" customWidth="1"/>
    <col min="26" max="26" width="11.375" style="35" customWidth="1"/>
    <col min="27" max="27" width="20.375" style="35" customWidth="1"/>
    <col min="28" max="28" width="30.125" style="40" customWidth="1"/>
    <col min="29" max="29" width="16.125" style="35" customWidth="1"/>
    <col min="30" max="30" width="13.875" style="41" customWidth="1"/>
    <col min="31" max="31" width="14" style="41" customWidth="1"/>
    <col min="32" max="32" width="15.875" style="35" customWidth="1"/>
    <col min="33" max="33" width="12.875" style="41" hidden="1" customWidth="1"/>
    <col min="34" max="34" width="11.375" style="42" customWidth="1"/>
    <col min="35" max="35" width="21.75" style="35" customWidth="1"/>
    <col min="36" max="36" width="17.125" style="43" customWidth="1"/>
    <col min="37" max="37" width="17.125" style="35" customWidth="1"/>
    <col min="38" max="39" width="12.875" style="44" customWidth="1"/>
    <col min="40" max="40" width="16.75" style="35" customWidth="1"/>
    <col min="41" max="41" width="12.875" style="41" hidden="1" customWidth="1"/>
    <col min="42" max="42" width="17.125" style="35" customWidth="1"/>
    <col min="43" max="43" width="20.375" style="35" customWidth="1"/>
    <col min="44" max="44" width="17" style="43" customWidth="1"/>
    <col min="45" max="45" width="17" style="35" customWidth="1"/>
    <col min="46" max="47" width="12.875" style="35" customWidth="1"/>
    <col min="48" max="48" width="16.125" style="35" customWidth="1"/>
    <col min="49" max="49" width="15.125" style="41" hidden="1" customWidth="1"/>
    <col min="50" max="50" width="11.375" style="35" customWidth="1"/>
    <col min="51" max="51" width="20.375" style="35" customWidth="1"/>
    <col min="52" max="52" width="16.125" style="43" customWidth="1"/>
    <col min="53" max="53" width="16.125" style="35" customWidth="1"/>
    <col min="54" max="54" width="12.875" style="41" customWidth="1"/>
    <col min="55" max="55" width="17.25" style="35" customWidth="1"/>
    <col min="56" max="56" width="12.875" style="41" customWidth="1"/>
    <col min="57" max="57" width="11.375" style="35" customWidth="1"/>
    <col min="58" max="58" width="20.375" style="35" customWidth="1"/>
    <col min="59" max="59" width="16.125" style="43" customWidth="1"/>
    <col min="60" max="60" width="16.125" style="35" customWidth="1"/>
    <col min="61" max="61" width="12.875" style="41" customWidth="1"/>
    <col min="62" max="62" width="17.25" style="35" customWidth="1"/>
    <col min="63" max="63" width="12.875" style="41" customWidth="1"/>
    <col min="64" max="64" width="15.875" style="35" customWidth="1"/>
    <col min="65" max="65" width="20.375" style="35" customWidth="1"/>
    <col min="66" max="66" width="16.375" style="43" customWidth="1"/>
    <col min="67" max="67" width="16.375" style="35" customWidth="1"/>
    <col min="68" max="68" width="23.75" style="41" customWidth="1"/>
    <col min="69" max="69" width="22.375" style="41" customWidth="1"/>
    <col min="70" max="70" width="17" style="35" customWidth="1"/>
    <col min="71" max="71" width="12.875" style="41" hidden="1" customWidth="1"/>
    <col min="72" max="72" width="11.375" style="35" customWidth="1"/>
    <col min="73" max="73" width="20.375" style="35" customWidth="1"/>
    <col min="74" max="74" width="16.375" style="43" customWidth="1"/>
    <col min="75" max="75" width="16.375" style="35" customWidth="1"/>
    <col min="76" max="76" width="17" style="41" customWidth="1"/>
    <col min="77" max="77" width="17" style="35" customWidth="1"/>
    <col min="78" max="78" width="12.875" style="41" hidden="1" customWidth="1"/>
    <col min="79" max="79" width="21.375" style="35" customWidth="1"/>
    <col min="80" max="80" width="25.25" style="35" customWidth="1"/>
    <col min="81" max="81" width="16.375" style="45" customWidth="1"/>
    <col min="82" max="82" width="52.875" style="36" customWidth="1"/>
    <col min="83" max="83" width="18.375" style="46" customWidth="1"/>
    <col min="84" max="85" width="16.75" style="46" customWidth="1"/>
    <col min="86" max="87" width="11.75" style="47" customWidth="1"/>
    <col min="88" max="88" width="18.375" style="47" customWidth="1"/>
    <col min="89" max="89" width="16.25" style="46" customWidth="1"/>
    <col min="90" max="90" width="16" style="46" customWidth="1"/>
    <col min="91" max="91" width="13.375" style="46" customWidth="1"/>
    <col min="92" max="93" width="11.75" style="46" customWidth="1"/>
    <col min="94" max="94" width="14.875" style="46" customWidth="1"/>
    <col min="95" max="95" width="14.375" style="46" customWidth="1"/>
    <col min="96" max="99" width="11.75" style="46" customWidth="1"/>
    <col min="100" max="100" width="14.875" style="46" customWidth="1"/>
    <col min="101" max="101" width="11.75" style="48" customWidth="1"/>
    <col min="102" max="103" width="11.75" style="46" customWidth="1"/>
    <col min="104" max="105" width="11.75" style="48" customWidth="1"/>
    <col min="106" max="106" width="14.875" style="48" customWidth="1"/>
    <col min="107" max="107" width="11.75" style="48" customWidth="1"/>
    <col min="108" max="109" width="11.75" style="46" customWidth="1"/>
    <col min="110" max="111" width="11.75" style="48" customWidth="1"/>
    <col min="112" max="112" width="14.875" style="48" customWidth="1"/>
    <col min="113" max="113" width="11.75" style="49" customWidth="1"/>
    <col min="114" max="115" width="11.75" style="50" customWidth="1"/>
    <col min="116" max="120" width="11.75" style="37" customWidth="1"/>
    <col min="121" max="121" width="11.375" style="37" customWidth="1"/>
    <col min="122" max="122" width="13.375" style="37" customWidth="1"/>
    <col min="123" max="123" width="14.875" style="37" customWidth="1"/>
    <col min="124" max="132" width="11.375" style="37" customWidth="1"/>
    <col min="133" max="147" width="11.375" style="37"/>
    <col min="148" max="155" width="11.375" style="38"/>
    <col min="156" max="16384" width="11.375" style="35"/>
  </cols>
  <sheetData>
    <row r="1" spans="1:16383" s="19" customFormat="1" ht="27" customHeight="1">
      <c r="B1" s="26" t="s">
        <v>143</v>
      </c>
      <c r="C1" s="26"/>
      <c r="D1" s="26"/>
      <c r="E1" s="26"/>
      <c r="F1" s="28"/>
      <c r="G1" s="28"/>
      <c r="H1" s="28"/>
      <c r="I1" s="28"/>
      <c r="J1" s="28"/>
      <c r="K1" s="28"/>
      <c r="L1" s="28"/>
      <c r="M1" s="28"/>
      <c r="N1" s="28"/>
      <c r="O1" s="28"/>
      <c r="P1" s="28"/>
      <c r="Q1" s="28"/>
      <c r="R1" s="28"/>
      <c r="S1" s="28"/>
      <c r="T1" s="51"/>
      <c r="U1" s="28"/>
      <c r="V1" s="28"/>
      <c r="W1" s="28"/>
      <c r="X1" s="52"/>
      <c r="Y1" s="53"/>
      <c r="Z1" s="26"/>
      <c r="AA1" s="26"/>
      <c r="AB1" s="54"/>
      <c r="AC1" s="53"/>
      <c r="AD1" s="55"/>
      <c r="AE1" s="55"/>
      <c r="AF1" s="53"/>
      <c r="AG1" s="55"/>
      <c r="AH1" s="56"/>
      <c r="AI1" s="26"/>
      <c r="AJ1" s="57"/>
      <c r="AK1" s="53"/>
      <c r="AL1" s="58"/>
      <c r="AM1" s="58"/>
      <c r="AN1" s="53"/>
      <c r="AO1" s="55"/>
      <c r="AP1" s="26"/>
      <c r="AQ1" s="26"/>
      <c r="AR1" s="57"/>
      <c r="AS1" s="53"/>
      <c r="AT1" s="53"/>
      <c r="AU1" s="53"/>
      <c r="AV1" s="53"/>
      <c r="AW1" s="55"/>
      <c r="AX1" s="26"/>
      <c r="AY1" s="26"/>
      <c r="AZ1" s="57"/>
      <c r="BA1" s="53"/>
      <c r="BB1" s="55"/>
      <c r="BC1" s="53"/>
      <c r="BD1" s="55"/>
      <c r="BE1" s="26"/>
      <c r="BF1" s="26"/>
      <c r="BG1" s="57"/>
      <c r="BH1" s="53"/>
      <c r="BI1" s="55"/>
      <c r="BJ1" s="53"/>
      <c r="BK1" s="55"/>
      <c r="BL1" s="26"/>
      <c r="BM1" s="26"/>
      <c r="BN1" s="57"/>
      <c r="BO1" s="53"/>
      <c r="BP1" s="55"/>
      <c r="BQ1" s="55"/>
      <c r="BR1" s="53"/>
      <c r="BS1" s="55"/>
      <c r="BT1" s="26"/>
      <c r="BU1" s="26"/>
      <c r="BV1" s="57"/>
      <c r="BW1" s="53"/>
      <c r="BX1" s="55"/>
      <c r="BY1" s="53"/>
      <c r="BZ1" s="55"/>
      <c r="CA1" s="28"/>
      <c r="CB1" s="53"/>
      <c r="CC1" s="45"/>
      <c r="CD1" s="59"/>
      <c r="CE1" s="21"/>
      <c r="CF1" s="21"/>
      <c r="CG1" s="21"/>
      <c r="CH1" s="60"/>
      <c r="CI1" s="60"/>
      <c r="CJ1" s="60"/>
      <c r="CK1" s="21"/>
      <c r="CL1" s="21"/>
      <c r="CM1" s="21"/>
      <c r="CN1" s="21"/>
      <c r="CO1" s="21"/>
      <c r="CP1" s="21"/>
      <c r="CQ1" s="21"/>
      <c r="CR1" s="21"/>
      <c r="CS1" s="21"/>
      <c r="CT1" s="21"/>
      <c r="CU1" s="21"/>
      <c r="CV1" s="21"/>
      <c r="CW1" s="20"/>
      <c r="CX1" s="21"/>
      <c r="CY1" s="21"/>
      <c r="CZ1" s="20"/>
      <c r="DA1" s="20"/>
      <c r="DB1" s="20"/>
      <c r="DC1" s="20"/>
      <c r="DD1" s="21"/>
      <c r="DE1" s="21"/>
      <c r="DF1" s="20"/>
      <c r="DG1" s="20"/>
      <c r="DH1" s="20"/>
      <c r="DI1" s="22"/>
      <c r="DJ1" s="23"/>
      <c r="DK1" s="23"/>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5"/>
      <c r="ES1" s="25"/>
      <c r="ET1" s="25"/>
      <c r="EU1" s="25"/>
      <c r="EV1" s="25"/>
      <c r="EW1" s="25"/>
      <c r="EX1" s="25"/>
      <c r="EY1" s="25"/>
    </row>
    <row r="2" spans="1:16383" ht="18.75" customHeight="1">
      <c r="B2" s="561" t="s">
        <v>144</v>
      </c>
      <c r="C2" s="562"/>
      <c r="D2" s="562"/>
      <c r="E2" s="562"/>
      <c r="F2" s="562"/>
      <c r="G2" s="562"/>
      <c r="H2" s="562"/>
      <c r="I2" s="562"/>
      <c r="J2" s="562"/>
      <c r="K2" s="562"/>
      <c r="L2" s="562"/>
      <c r="M2" s="562"/>
      <c r="N2" s="563"/>
      <c r="O2" s="28"/>
      <c r="P2" s="28"/>
      <c r="Q2" s="28"/>
      <c r="R2" s="28"/>
      <c r="S2" s="28"/>
      <c r="T2" s="28"/>
      <c r="U2" s="28"/>
      <c r="V2" s="28"/>
      <c r="W2" s="28"/>
      <c r="X2" s="28"/>
      <c r="Y2" s="28"/>
      <c r="Z2" s="214"/>
      <c r="AA2" s="215"/>
      <c r="AB2" s="216"/>
      <c r="AC2" s="217"/>
      <c r="AD2" s="218"/>
      <c r="AE2" s="218"/>
      <c r="AF2" s="217"/>
      <c r="AG2" s="218"/>
      <c r="AH2" s="219"/>
      <c r="AI2" s="215"/>
      <c r="AJ2" s="216"/>
      <c r="AK2" s="217"/>
      <c r="AL2" s="220"/>
      <c r="AM2" s="220"/>
      <c r="AN2" s="217"/>
      <c r="AO2" s="218"/>
      <c r="AP2" s="214"/>
      <c r="AQ2" s="215"/>
      <c r="AR2" s="216"/>
      <c r="AS2" s="217"/>
      <c r="AT2" s="217"/>
      <c r="AU2" s="217"/>
      <c r="AV2" s="217"/>
      <c r="AW2" s="218"/>
      <c r="AX2" s="214"/>
      <c r="AY2" s="215"/>
      <c r="AZ2" s="216"/>
      <c r="BA2" s="217"/>
      <c r="BB2" s="218"/>
      <c r="BC2" s="217"/>
      <c r="BD2" s="218"/>
      <c r="BE2" s="214"/>
      <c r="BF2" s="215"/>
      <c r="BG2" s="216"/>
      <c r="BH2" s="217"/>
      <c r="BI2" s="218"/>
      <c r="BJ2" s="217"/>
      <c r="BK2" s="218"/>
      <c r="BL2" s="214"/>
      <c r="BM2" s="215"/>
      <c r="BN2" s="216"/>
      <c r="BO2" s="217"/>
      <c r="BP2" s="218"/>
      <c r="BQ2" s="218"/>
      <c r="BR2" s="217"/>
      <c r="BS2" s="218"/>
      <c r="BT2" s="214"/>
      <c r="BU2" s="215"/>
      <c r="BV2" s="216"/>
      <c r="BW2" s="217"/>
      <c r="BX2" s="218"/>
      <c r="BY2" s="217"/>
      <c r="BZ2" s="218"/>
      <c r="CA2" s="221"/>
      <c r="CB2" s="222"/>
    </row>
    <row r="3" spans="1:16383" ht="28.5" customHeight="1">
      <c r="B3" s="564"/>
      <c r="C3" s="565"/>
      <c r="D3" s="565"/>
      <c r="E3" s="565"/>
      <c r="F3" s="565"/>
      <c r="G3" s="565"/>
      <c r="H3" s="565"/>
      <c r="I3" s="565"/>
      <c r="J3" s="565"/>
      <c r="K3" s="565"/>
      <c r="L3" s="565"/>
      <c r="M3" s="565"/>
      <c r="N3" s="566"/>
      <c r="O3" s="28"/>
      <c r="P3" s="28"/>
      <c r="Q3" s="28"/>
      <c r="R3" s="28"/>
      <c r="S3" s="28"/>
      <c r="T3" s="28"/>
      <c r="U3" s="28"/>
      <c r="V3" s="28"/>
      <c r="W3" s="28"/>
      <c r="X3" s="28"/>
      <c r="Y3" s="28"/>
      <c r="Z3" s="223"/>
      <c r="AA3" s="224"/>
      <c r="AB3" s="225"/>
      <c r="AC3" s="226"/>
      <c r="AD3" s="227"/>
      <c r="AE3" s="227"/>
      <c r="AF3" s="226"/>
      <c r="AG3" s="227"/>
      <c r="AH3" s="228"/>
      <c r="AI3" s="224"/>
      <c r="AJ3" s="225"/>
      <c r="AK3" s="226"/>
      <c r="AL3" s="229"/>
      <c r="AM3" s="229"/>
      <c r="AN3" s="226"/>
      <c r="AO3" s="227"/>
      <c r="AP3" s="223"/>
      <c r="AQ3" s="224"/>
      <c r="AR3" s="225"/>
      <c r="AS3" s="226"/>
      <c r="AT3" s="226"/>
      <c r="AU3" s="226"/>
      <c r="AV3" s="226"/>
      <c r="AW3" s="227"/>
      <c r="AX3" s="223"/>
      <c r="AY3" s="224"/>
      <c r="AZ3" s="225"/>
      <c r="BA3" s="226"/>
      <c r="BB3" s="227"/>
      <c r="BC3" s="226"/>
      <c r="BD3" s="227"/>
      <c r="BE3" s="223"/>
      <c r="BF3" s="224"/>
      <c r="BG3" s="225"/>
      <c r="BH3" s="226"/>
      <c r="BI3" s="227"/>
      <c r="BJ3" s="226"/>
      <c r="BK3" s="227"/>
      <c r="BL3" s="223"/>
      <c r="BM3" s="224"/>
      <c r="BN3" s="225"/>
      <c r="BO3" s="226"/>
      <c r="BP3" s="227"/>
      <c r="BQ3" s="227"/>
      <c r="BR3" s="226"/>
      <c r="BS3" s="227"/>
      <c r="BT3" s="223"/>
      <c r="BU3" s="224"/>
      <c r="BV3" s="225"/>
      <c r="BW3" s="226"/>
      <c r="BX3" s="227"/>
      <c r="BY3" s="226"/>
      <c r="BZ3" s="227"/>
      <c r="CA3" s="230"/>
      <c r="CB3" s="217"/>
    </row>
    <row r="4" spans="1:16383" s="19" customFormat="1" ht="19.5" customHeight="1">
      <c r="B4" s="215"/>
      <c r="C4" s="215"/>
      <c r="D4" s="215"/>
      <c r="E4" s="231"/>
      <c r="F4" s="26"/>
      <c r="G4" s="28"/>
      <c r="H4" s="28"/>
      <c r="I4" s="28"/>
      <c r="J4" s="28"/>
      <c r="K4" s="28"/>
      <c r="L4" s="28"/>
      <c r="M4" s="28"/>
      <c r="N4" s="28"/>
      <c r="O4" s="28"/>
      <c r="P4" s="28"/>
      <c r="Q4" s="28"/>
      <c r="R4" s="28"/>
      <c r="S4" s="28"/>
      <c r="T4" s="28"/>
      <c r="U4" s="28"/>
      <c r="V4" s="28"/>
      <c r="W4" s="28"/>
      <c r="X4" s="28"/>
      <c r="Y4" s="28"/>
      <c r="Z4" s="26"/>
      <c r="AA4" s="26"/>
      <c r="AB4" s="54"/>
      <c r="AC4" s="53"/>
      <c r="AD4" s="55"/>
      <c r="AE4" s="55"/>
      <c r="AF4" s="53"/>
      <c r="AG4" s="55"/>
      <c r="AH4" s="56"/>
      <c r="AI4" s="26"/>
      <c r="AJ4" s="57"/>
      <c r="AK4" s="53"/>
      <c r="AL4" s="58"/>
      <c r="AM4" s="58"/>
      <c r="AN4" s="53"/>
      <c r="AO4" s="55"/>
      <c r="AP4" s="26"/>
      <c r="AQ4" s="26"/>
      <c r="AR4" s="57"/>
      <c r="AS4" s="53"/>
      <c r="AT4" s="53"/>
      <c r="AU4" s="53"/>
      <c r="AV4" s="53"/>
      <c r="AW4" s="55"/>
      <c r="AX4" s="26"/>
      <c r="AY4" s="26"/>
      <c r="AZ4" s="57"/>
      <c r="BA4" s="53"/>
      <c r="BB4" s="55"/>
      <c r="BC4" s="53"/>
      <c r="BD4" s="55"/>
      <c r="BE4" s="26"/>
      <c r="BF4" s="26"/>
      <c r="BG4" s="57"/>
      <c r="BH4" s="53"/>
      <c r="BI4" s="55"/>
      <c r="BJ4" s="53"/>
      <c r="BK4" s="55"/>
      <c r="BL4" s="26"/>
      <c r="BM4" s="26"/>
      <c r="BN4" s="57"/>
      <c r="BO4" s="53"/>
      <c r="BP4" s="55"/>
      <c r="BQ4" s="55"/>
      <c r="BR4" s="53"/>
      <c r="BS4" s="55"/>
      <c r="BT4" s="26"/>
      <c r="BU4" s="26"/>
      <c r="BV4" s="57"/>
      <c r="BW4" s="53"/>
      <c r="BX4" s="55"/>
      <c r="BY4" s="53"/>
      <c r="BZ4" s="55"/>
      <c r="CA4" s="430"/>
      <c r="CB4" s="431"/>
      <c r="CC4" s="45"/>
      <c r="CD4" s="59"/>
      <c r="CE4" s="21"/>
      <c r="CF4" s="21"/>
      <c r="CG4" s="21"/>
      <c r="CH4" s="60"/>
      <c r="CI4" s="60"/>
      <c r="CJ4" s="60"/>
      <c r="CK4" s="21"/>
      <c r="CL4" s="21"/>
      <c r="CM4" s="21"/>
      <c r="CN4" s="21"/>
      <c r="CO4" s="21"/>
      <c r="CP4" s="21"/>
      <c r="CQ4" s="21"/>
      <c r="CR4" s="21"/>
      <c r="CS4" s="21"/>
      <c r="CT4" s="21"/>
      <c r="CU4" s="21"/>
      <c r="CV4" s="21"/>
      <c r="CW4" s="20"/>
      <c r="CX4" s="21"/>
      <c r="CY4" s="21"/>
      <c r="CZ4" s="20"/>
      <c r="DA4" s="20"/>
      <c r="DB4" s="20"/>
      <c r="DC4" s="20"/>
      <c r="DD4" s="21"/>
      <c r="DE4" s="21"/>
      <c r="DF4" s="20"/>
      <c r="DG4" s="20"/>
      <c r="DH4" s="20"/>
      <c r="DI4" s="22"/>
      <c r="DJ4" s="23"/>
      <c r="DK4" s="23"/>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5"/>
      <c r="ES4" s="25"/>
      <c r="ET4" s="25"/>
      <c r="EU4" s="25"/>
      <c r="EV4" s="25"/>
      <c r="EW4" s="25"/>
      <c r="EX4" s="25"/>
      <c r="EY4" s="25"/>
    </row>
    <row r="5" spans="1:16383" ht="18.75" customHeight="1">
      <c r="B5" s="510" t="s">
        <v>145</v>
      </c>
      <c r="C5" s="511"/>
      <c r="D5" s="511"/>
      <c r="E5" s="511"/>
      <c r="F5" s="511"/>
      <c r="G5" s="511"/>
      <c r="H5" s="511"/>
      <c r="I5" s="511"/>
      <c r="J5" s="511"/>
      <c r="K5" s="511"/>
      <c r="L5" s="511"/>
      <c r="M5" s="511"/>
      <c r="N5" s="512"/>
      <c r="O5" s="28"/>
      <c r="P5" s="28"/>
      <c r="Q5" s="28"/>
      <c r="R5" s="28"/>
      <c r="S5" s="28"/>
      <c r="T5" s="28"/>
      <c r="U5" s="28"/>
      <c r="V5" s="28"/>
      <c r="W5" s="28"/>
      <c r="X5" s="28"/>
      <c r="Y5" s="28"/>
      <c r="Z5" s="28"/>
      <c r="AA5" s="28"/>
      <c r="AB5" s="54"/>
      <c r="AC5" s="28"/>
      <c r="AD5" s="28"/>
      <c r="AE5" s="28"/>
      <c r="AF5" s="28"/>
      <c r="AG5" s="28"/>
      <c r="AH5" s="28"/>
      <c r="AI5" s="28"/>
      <c r="AJ5" s="57"/>
      <c r="AK5" s="28"/>
      <c r="AL5" s="28"/>
      <c r="AM5" s="28"/>
      <c r="AN5" s="28"/>
      <c r="AO5" s="28"/>
      <c r="AP5" s="28"/>
      <c r="AQ5" s="28"/>
      <c r="AR5" s="57"/>
      <c r="AS5" s="28"/>
      <c r="AT5" s="28"/>
      <c r="AU5" s="28"/>
      <c r="AV5" s="28"/>
      <c r="AW5" s="28"/>
      <c r="AX5" s="28"/>
      <c r="AY5" s="28"/>
      <c r="AZ5" s="57"/>
      <c r="BA5" s="28"/>
      <c r="BB5" s="26"/>
      <c r="BC5" s="26"/>
      <c r="BD5" s="26"/>
      <c r="BE5" s="28"/>
      <c r="BF5" s="28"/>
      <c r="BG5" s="57"/>
      <c r="BH5" s="28"/>
      <c r="BI5" s="26"/>
      <c r="BJ5" s="26"/>
      <c r="BK5" s="26"/>
      <c r="BL5" s="26"/>
      <c r="BM5" s="26"/>
      <c r="BN5" s="57"/>
      <c r="BO5" s="26"/>
      <c r="BP5" s="26"/>
      <c r="BQ5" s="26"/>
      <c r="BR5" s="26"/>
      <c r="BS5" s="26"/>
      <c r="BT5" s="26"/>
      <c r="BU5" s="26"/>
      <c r="BV5" s="57"/>
      <c r="BW5" s="26"/>
      <c r="BX5" s="26"/>
      <c r="BY5" s="26"/>
      <c r="BZ5" s="26"/>
      <c r="CA5" s="26"/>
      <c r="CB5" s="26"/>
      <c r="CD5" s="59"/>
      <c r="CE5" s="21"/>
      <c r="CF5" s="21"/>
      <c r="CG5" s="21"/>
      <c r="CH5" s="60"/>
      <c r="CI5" s="60"/>
      <c r="CJ5" s="60"/>
      <c r="CK5" s="21"/>
      <c r="CL5" s="21"/>
      <c r="CM5" s="21"/>
      <c r="CN5" s="21"/>
      <c r="CO5" s="21"/>
      <c r="CP5" s="21"/>
      <c r="CQ5" s="21"/>
      <c r="CR5" s="21"/>
      <c r="CS5" s="21"/>
      <c r="CT5" s="21"/>
      <c r="CU5" s="21"/>
      <c r="CV5" s="21"/>
      <c r="CW5" s="20"/>
      <c r="CX5" s="21"/>
      <c r="CY5" s="21"/>
      <c r="CZ5" s="20"/>
      <c r="DA5" s="20"/>
      <c r="DB5" s="20"/>
      <c r="DC5" s="20"/>
      <c r="DD5" s="21"/>
      <c r="DE5" s="21"/>
      <c r="DF5" s="20"/>
      <c r="DG5" s="20"/>
      <c r="DH5" s="20"/>
      <c r="DI5" s="22"/>
      <c r="DJ5" s="23"/>
      <c r="DK5" s="23"/>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5"/>
      <c r="ES5" s="25"/>
      <c r="ET5" s="25"/>
      <c r="EU5" s="25"/>
      <c r="EV5" s="25"/>
      <c r="EW5" s="25"/>
      <c r="EX5" s="25"/>
      <c r="EY5" s="25"/>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c r="ADL5" s="19"/>
      <c r="ADM5" s="19"/>
      <c r="ADN5" s="19"/>
      <c r="ADO5" s="19"/>
      <c r="ADP5" s="19"/>
      <c r="ADQ5" s="19"/>
      <c r="ADR5" s="19"/>
      <c r="ADS5" s="19"/>
      <c r="ADT5" s="19"/>
      <c r="ADU5" s="19"/>
      <c r="ADV5" s="19"/>
      <c r="ADW5" s="19"/>
      <c r="ADX5" s="19"/>
      <c r="ADY5" s="19"/>
      <c r="ADZ5" s="19"/>
      <c r="AEA5" s="19"/>
      <c r="AEB5" s="19"/>
      <c r="AEC5" s="19"/>
      <c r="AED5" s="19"/>
      <c r="AEE5" s="19"/>
      <c r="AEF5" s="19"/>
      <c r="AEG5" s="19"/>
      <c r="AEH5" s="19"/>
      <c r="AEI5" s="19"/>
      <c r="AEJ5" s="19"/>
      <c r="AEK5" s="19"/>
      <c r="AEL5" s="19"/>
      <c r="AEM5" s="19"/>
      <c r="AEN5" s="19"/>
      <c r="AEO5" s="19"/>
      <c r="AEP5" s="19"/>
      <c r="AEQ5" s="19"/>
      <c r="AER5" s="19"/>
      <c r="AES5" s="19"/>
      <c r="AET5" s="19"/>
      <c r="AEU5" s="19"/>
      <c r="AEV5" s="19"/>
      <c r="AEW5" s="19"/>
      <c r="AEX5" s="19"/>
      <c r="AEY5" s="19"/>
      <c r="AEZ5" s="19"/>
      <c r="AFA5" s="19"/>
      <c r="AFB5" s="19"/>
      <c r="AFC5" s="19"/>
      <c r="AFD5" s="19"/>
      <c r="AFE5" s="19"/>
      <c r="AFF5" s="19"/>
      <c r="AFG5" s="19"/>
      <c r="AFH5" s="19"/>
      <c r="AFI5" s="19"/>
      <c r="AFJ5" s="19"/>
      <c r="AFK5" s="19"/>
      <c r="AFL5" s="19"/>
      <c r="AFM5" s="19"/>
      <c r="AFN5" s="19"/>
      <c r="AFO5" s="19"/>
      <c r="AFP5" s="19"/>
      <c r="AFQ5" s="19"/>
      <c r="AFR5" s="19"/>
      <c r="AFS5" s="19"/>
      <c r="AFT5" s="19"/>
      <c r="AFU5" s="19"/>
      <c r="AFV5" s="19"/>
      <c r="AFW5" s="19"/>
      <c r="AFX5" s="19"/>
      <c r="AFY5" s="19"/>
      <c r="AFZ5" s="19"/>
      <c r="AGA5" s="19"/>
      <c r="AGB5" s="19"/>
      <c r="AGC5" s="19"/>
      <c r="AGD5" s="19"/>
      <c r="AGE5" s="19"/>
      <c r="AGF5" s="19"/>
      <c r="AGG5" s="19"/>
      <c r="AGH5" s="19"/>
      <c r="AGI5" s="19"/>
      <c r="AGJ5" s="19"/>
      <c r="AGK5" s="19"/>
      <c r="AGL5" s="19"/>
      <c r="AGM5" s="19"/>
      <c r="AGN5" s="19"/>
      <c r="AGO5" s="19"/>
      <c r="AGP5" s="19"/>
      <c r="AGQ5" s="19"/>
      <c r="AGR5" s="19"/>
      <c r="AGS5" s="19"/>
      <c r="AGT5" s="19"/>
      <c r="AGU5" s="19"/>
      <c r="AGV5" s="19"/>
      <c r="AGW5" s="19"/>
      <c r="AGX5" s="19"/>
      <c r="AGY5" s="19"/>
      <c r="AGZ5" s="19"/>
      <c r="AHA5" s="19"/>
      <c r="AHB5" s="19"/>
      <c r="AHC5" s="19"/>
      <c r="AHD5" s="19"/>
      <c r="AHE5" s="19"/>
      <c r="AHF5" s="19"/>
      <c r="AHG5" s="19"/>
      <c r="AHH5" s="19"/>
      <c r="AHI5" s="19"/>
      <c r="AHJ5" s="19"/>
      <c r="AHK5" s="19"/>
      <c r="AHL5" s="19"/>
      <c r="AHM5" s="19"/>
      <c r="AHN5" s="19"/>
      <c r="AHO5" s="19"/>
      <c r="AHP5" s="19"/>
      <c r="AHQ5" s="19"/>
      <c r="AHR5" s="19"/>
      <c r="AHS5" s="19"/>
      <c r="AHT5" s="19"/>
      <c r="AHU5" s="19"/>
      <c r="AHV5" s="19"/>
      <c r="AHW5" s="19"/>
      <c r="AHX5" s="19"/>
      <c r="AHY5" s="19"/>
      <c r="AHZ5" s="19"/>
      <c r="AIA5" s="19"/>
      <c r="AIB5" s="19"/>
      <c r="AIC5" s="19"/>
      <c r="AID5" s="19"/>
      <c r="AIE5" s="19"/>
      <c r="AIF5" s="19"/>
      <c r="AIG5" s="19"/>
      <c r="AIH5" s="19"/>
      <c r="AII5" s="19"/>
      <c r="AIJ5" s="19"/>
      <c r="AIK5" s="19"/>
      <c r="AIL5" s="19"/>
      <c r="AIM5" s="19"/>
      <c r="AIN5" s="19"/>
      <c r="AIO5" s="19"/>
      <c r="AIP5" s="19"/>
      <c r="AIQ5" s="19"/>
      <c r="AIR5" s="19"/>
      <c r="AIS5" s="19"/>
      <c r="AIT5" s="19"/>
      <c r="AIU5" s="19"/>
      <c r="AIV5" s="19"/>
      <c r="AIW5" s="19"/>
      <c r="AIX5" s="19"/>
      <c r="AIY5" s="19"/>
      <c r="AIZ5" s="19"/>
      <c r="AJA5" s="19"/>
      <c r="AJB5" s="19"/>
      <c r="AJC5" s="19"/>
      <c r="AJD5" s="19"/>
      <c r="AJE5" s="19"/>
      <c r="AJF5" s="19"/>
      <c r="AJG5" s="19"/>
      <c r="AJH5" s="19"/>
      <c r="AJI5" s="19"/>
      <c r="AJJ5" s="19"/>
      <c r="AJK5" s="19"/>
      <c r="AJL5" s="19"/>
      <c r="AJM5" s="19"/>
      <c r="AJN5" s="19"/>
      <c r="AJO5" s="19"/>
      <c r="AJP5" s="19"/>
      <c r="AJQ5" s="19"/>
      <c r="AJR5" s="19"/>
      <c r="AJS5" s="19"/>
      <c r="AJT5" s="19"/>
      <c r="AJU5" s="19"/>
      <c r="AJV5" s="19"/>
      <c r="AJW5" s="19"/>
      <c r="AJX5" s="19"/>
      <c r="AJY5" s="19"/>
      <c r="AJZ5" s="19"/>
      <c r="AKA5" s="19"/>
      <c r="AKB5" s="19"/>
      <c r="AKC5" s="19"/>
      <c r="AKD5" s="19"/>
      <c r="AKE5" s="19"/>
      <c r="AKF5" s="19"/>
      <c r="AKG5" s="19"/>
      <c r="AKH5" s="19"/>
      <c r="AKI5" s="19"/>
      <c r="AKJ5" s="19"/>
      <c r="AKK5" s="19"/>
      <c r="AKL5" s="19"/>
      <c r="AKM5" s="19"/>
      <c r="AKN5" s="19"/>
      <c r="AKO5" s="19"/>
      <c r="AKP5" s="19"/>
      <c r="AKQ5" s="19"/>
      <c r="AKR5" s="19"/>
      <c r="AKS5" s="19"/>
      <c r="AKT5" s="19"/>
      <c r="AKU5" s="19"/>
      <c r="AKV5" s="19"/>
      <c r="AKW5" s="19"/>
      <c r="AKX5" s="19"/>
      <c r="AKY5" s="19"/>
      <c r="AKZ5" s="19"/>
      <c r="ALA5" s="19"/>
      <c r="ALB5" s="19"/>
      <c r="ALC5" s="19"/>
      <c r="ALD5" s="19"/>
      <c r="ALE5" s="19"/>
      <c r="ALF5" s="19"/>
      <c r="ALG5" s="19"/>
      <c r="ALH5" s="19"/>
      <c r="ALI5" s="19"/>
      <c r="ALJ5" s="19"/>
      <c r="ALK5" s="19"/>
      <c r="ALL5" s="19"/>
      <c r="ALM5" s="19"/>
      <c r="ALN5" s="19"/>
      <c r="ALO5" s="19"/>
      <c r="ALP5" s="19"/>
      <c r="ALQ5" s="19"/>
      <c r="ALR5" s="19"/>
      <c r="ALS5" s="19"/>
      <c r="ALT5" s="19"/>
      <c r="ALU5" s="19"/>
      <c r="ALV5" s="19"/>
      <c r="ALW5" s="19"/>
      <c r="ALX5" s="19"/>
      <c r="ALY5" s="19"/>
      <c r="ALZ5" s="19"/>
      <c r="AMA5" s="19"/>
      <c r="AMB5" s="19"/>
      <c r="AMC5" s="19"/>
      <c r="AMD5" s="19"/>
      <c r="AME5" s="19"/>
      <c r="AMF5" s="19"/>
      <c r="AMG5" s="19"/>
      <c r="AMH5" s="19"/>
      <c r="AMI5" s="19"/>
      <c r="AMJ5" s="19"/>
      <c r="AMK5" s="19"/>
      <c r="AML5" s="19"/>
      <c r="AMM5" s="19"/>
      <c r="AMN5" s="19"/>
      <c r="AMO5" s="19"/>
      <c r="AMP5" s="19"/>
      <c r="AMQ5" s="19"/>
      <c r="AMR5" s="19"/>
      <c r="AMS5" s="19"/>
      <c r="AMT5" s="19"/>
      <c r="AMU5" s="19"/>
      <c r="AMV5" s="19"/>
      <c r="AMW5" s="19"/>
      <c r="AMX5" s="19"/>
      <c r="AMY5" s="19"/>
      <c r="AMZ5" s="19"/>
      <c r="ANA5" s="19"/>
      <c r="ANB5" s="19"/>
      <c r="ANC5" s="19"/>
      <c r="AND5" s="19"/>
      <c r="ANE5" s="19"/>
      <c r="ANF5" s="19"/>
      <c r="ANG5" s="19"/>
      <c r="ANH5" s="19"/>
      <c r="ANI5" s="19"/>
      <c r="ANJ5" s="19"/>
      <c r="ANK5" s="19"/>
      <c r="ANL5" s="19"/>
      <c r="ANM5" s="19"/>
      <c r="ANN5" s="19"/>
      <c r="ANO5" s="19"/>
      <c r="ANP5" s="19"/>
      <c r="ANQ5" s="19"/>
      <c r="ANR5" s="19"/>
      <c r="ANS5" s="19"/>
      <c r="ANT5" s="19"/>
      <c r="ANU5" s="19"/>
      <c r="ANV5" s="19"/>
      <c r="ANW5" s="19"/>
      <c r="ANX5" s="19"/>
      <c r="ANY5" s="19"/>
      <c r="ANZ5" s="19"/>
      <c r="AOA5" s="19"/>
      <c r="AOB5" s="19"/>
      <c r="AOC5" s="19"/>
      <c r="AOD5" s="19"/>
      <c r="AOE5" s="19"/>
      <c r="AOF5" s="19"/>
      <c r="AOG5" s="19"/>
      <c r="AOH5" s="19"/>
      <c r="AOI5" s="19"/>
      <c r="AOJ5" s="19"/>
      <c r="AOK5" s="19"/>
      <c r="AOL5" s="19"/>
      <c r="AOM5" s="19"/>
      <c r="AON5" s="19"/>
      <c r="AOO5" s="19"/>
      <c r="AOP5" s="19"/>
      <c r="AOQ5" s="19"/>
      <c r="AOR5" s="19"/>
      <c r="AOS5" s="19"/>
      <c r="AOT5" s="19"/>
      <c r="AOU5" s="19"/>
      <c r="AOV5" s="19"/>
      <c r="AOW5" s="19"/>
      <c r="AOX5" s="19"/>
      <c r="AOY5" s="19"/>
      <c r="AOZ5" s="19"/>
      <c r="APA5" s="19"/>
      <c r="APB5" s="19"/>
      <c r="APC5" s="19"/>
      <c r="APD5" s="19"/>
      <c r="APE5" s="19"/>
      <c r="APF5" s="19"/>
      <c r="APG5" s="19"/>
      <c r="APH5" s="19"/>
      <c r="API5" s="19"/>
      <c r="APJ5" s="19"/>
      <c r="APK5" s="19"/>
      <c r="APL5" s="19"/>
      <c r="APM5" s="19"/>
      <c r="APN5" s="19"/>
      <c r="APO5" s="19"/>
      <c r="APP5" s="19"/>
      <c r="APQ5" s="19"/>
      <c r="APR5" s="19"/>
      <c r="APS5" s="19"/>
      <c r="APT5" s="19"/>
      <c r="APU5" s="19"/>
      <c r="APV5" s="19"/>
      <c r="APW5" s="19"/>
      <c r="APX5" s="19"/>
      <c r="APY5" s="19"/>
      <c r="APZ5" s="19"/>
      <c r="AQA5" s="19"/>
      <c r="AQB5" s="19"/>
      <c r="AQC5" s="19"/>
      <c r="AQD5" s="19"/>
      <c r="AQE5" s="19"/>
      <c r="AQF5" s="19"/>
      <c r="AQG5" s="19"/>
      <c r="AQH5" s="19"/>
      <c r="AQI5" s="19"/>
      <c r="AQJ5" s="19"/>
      <c r="AQK5" s="19"/>
      <c r="AQL5" s="19"/>
      <c r="AQM5" s="19"/>
      <c r="AQN5" s="19"/>
      <c r="AQO5" s="19"/>
      <c r="AQP5" s="19"/>
      <c r="AQQ5" s="19"/>
      <c r="AQR5" s="19"/>
      <c r="AQS5" s="19"/>
      <c r="AQT5" s="19"/>
      <c r="AQU5" s="19"/>
      <c r="AQV5" s="19"/>
      <c r="AQW5" s="19"/>
      <c r="AQX5" s="19"/>
      <c r="AQY5" s="19"/>
      <c r="AQZ5" s="19"/>
      <c r="ARA5" s="19"/>
      <c r="ARB5" s="19"/>
      <c r="ARC5" s="19"/>
      <c r="ARD5" s="19"/>
      <c r="ARE5" s="19"/>
      <c r="ARF5" s="19"/>
      <c r="ARG5" s="19"/>
      <c r="ARH5" s="19"/>
      <c r="ARI5" s="19"/>
      <c r="ARJ5" s="19"/>
      <c r="ARK5" s="19"/>
      <c r="ARL5" s="19"/>
      <c r="ARM5" s="19"/>
      <c r="ARN5" s="19"/>
      <c r="ARO5" s="19"/>
      <c r="ARP5" s="19"/>
      <c r="ARQ5" s="19"/>
      <c r="ARR5" s="19"/>
      <c r="ARS5" s="19"/>
      <c r="ART5" s="19"/>
      <c r="ARU5" s="19"/>
      <c r="ARV5" s="19"/>
      <c r="ARW5" s="19"/>
      <c r="ARX5" s="19"/>
      <c r="ARY5" s="19"/>
      <c r="ARZ5" s="19"/>
      <c r="ASA5" s="19"/>
      <c r="ASB5" s="19"/>
      <c r="ASC5" s="19"/>
      <c r="ASD5" s="19"/>
      <c r="ASE5" s="19"/>
      <c r="ASF5" s="19"/>
      <c r="ASG5" s="19"/>
      <c r="ASH5" s="19"/>
      <c r="ASI5" s="19"/>
      <c r="ASJ5" s="19"/>
      <c r="ASK5" s="19"/>
      <c r="ASL5" s="19"/>
      <c r="ASM5" s="19"/>
      <c r="ASN5" s="19"/>
      <c r="ASO5" s="19"/>
      <c r="ASP5" s="19"/>
      <c r="ASQ5" s="19"/>
      <c r="ASR5" s="19"/>
      <c r="ASS5" s="19"/>
      <c r="AST5" s="19"/>
      <c r="ASU5" s="19"/>
      <c r="ASV5" s="19"/>
      <c r="ASW5" s="19"/>
      <c r="ASX5" s="19"/>
      <c r="ASY5" s="19"/>
      <c r="ASZ5" s="19"/>
      <c r="ATA5" s="19"/>
      <c r="ATB5" s="19"/>
      <c r="ATC5" s="19"/>
      <c r="ATD5" s="19"/>
      <c r="ATE5" s="19"/>
      <c r="ATF5" s="19"/>
      <c r="ATG5" s="19"/>
      <c r="ATH5" s="19"/>
      <c r="ATI5" s="19"/>
      <c r="ATJ5" s="19"/>
      <c r="ATK5" s="19"/>
      <c r="ATL5" s="19"/>
      <c r="ATM5" s="19"/>
      <c r="ATN5" s="19"/>
      <c r="ATO5" s="19"/>
      <c r="ATP5" s="19"/>
      <c r="ATQ5" s="19"/>
      <c r="ATR5" s="19"/>
      <c r="ATS5" s="19"/>
      <c r="ATT5" s="19"/>
      <c r="ATU5" s="19"/>
      <c r="ATV5" s="19"/>
      <c r="ATW5" s="19"/>
      <c r="ATX5" s="19"/>
      <c r="ATY5" s="19"/>
      <c r="ATZ5" s="19"/>
      <c r="AUA5" s="19"/>
      <c r="AUB5" s="19"/>
      <c r="AUC5" s="19"/>
      <c r="AUD5" s="19"/>
      <c r="AUE5" s="19"/>
      <c r="AUF5" s="19"/>
      <c r="AUG5" s="19"/>
      <c r="AUH5" s="19"/>
      <c r="AUI5" s="19"/>
      <c r="AUJ5" s="19"/>
      <c r="AUK5" s="19"/>
      <c r="AUL5" s="19"/>
      <c r="AUM5" s="19"/>
      <c r="AUN5" s="19"/>
      <c r="AUO5" s="19"/>
      <c r="AUP5" s="19"/>
      <c r="AUQ5" s="19"/>
      <c r="AUR5" s="19"/>
      <c r="AUS5" s="19"/>
      <c r="AUT5" s="19"/>
      <c r="AUU5" s="19"/>
      <c r="AUV5" s="19"/>
      <c r="AUW5" s="19"/>
      <c r="AUX5" s="19"/>
      <c r="AUY5" s="19"/>
      <c r="AUZ5" s="19"/>
      <c r="AVA5" s="19"/>
      <c r="AVB5" s="19"/>
      <c r="AVC5" s="19"/>
      <c r="AVD5" s="19"/>
      <c r="AVE5" s="19"/>
      <c r="AVF5" s="19"/>
      <c r="AVG5" s="19"/>
      <c r="AVH5" s="19"/>
      <c r="AVI5" s="19"/>
      <c r="AVJ5" s="19"/>
      <c r="AVK5" s="19"/>
      <c r="AVL5" s="19"/>
      <c r="AVM5" s="19"/>
      <c r="AVN5" s="19"/>
      <c r="AVO5" s="19"/>
      <c r="AVP5" s="19"/>
      <c r="AVQ5" s="19"/>
      <c r="AVR5" s="19"/>
      <c r="AVS5" s="19"/>
      <c r="AVT5" s="19"/>
      <c r="AVU5" s="19"/>
      <c r="AVV5" s="19"/>
      <c r="AVW5" s="19"/>
      <c r="AVX5" s="19"/>
      <c r="AVY5" s="19"/>
      <c r="AVZ5" s="19"/>
      <c r="AWA5" s="19"/>
      <c r="AWB5" s="19"/>
      <c r="AWC5" s="19"/>
      <c r="AWD5" s="19"/>
      <c r="AWE5" s="19"/>
      <c r="AWF5" s="19"/>
      <c r="AWG5" s="19"/>
      <c r="AWH5" s="19"/>
      <c r="AWI5" s="19"/>
      <c r="AWJ5" s="19"/>
      <c r="AWK5" s="19"/>
      <c r="AWL5" s="19"/>
      <c r="AWM5" s="19"/>
      <c r="AWN5" s="19"/>
      <c r="AWO5" s="19"/>
      <c r="AWP5" s="19"/>
      <c r="AWQ5" s="19"/>
      <c r="AWR5" s="19"/>
      <c r="AWS5" s="19"/>
      <c r="AWT5" s="19"/>
      <c r="AWU5" s="19"/>
      <c r="AWV5" s="19"/>
      <c r="AWW5" s="19"/>
      <c r="AWX5" s="19"/>
      <c r="AWY5" s="19"/>
      <c r="AWZ5" s="19"/>
      <c r="AXA5" s="19"/>
      <c r="AXB5" s="19"/>
      <c r="AXC5" s="19"/>
      <c r="AXD5" s="19"/>
      <c r="AXE5" s="19"/>
      <c r="AXF5" s="19"/>
      <c r="AXG5" s="19"/>
      <c r="AXH5" s="19"/>
      <c r="AXI5" s="19"/>
      <c r="AXJ5" s="19"/>
      <c r="AXK5" s="19"/>
      <c r="AXL5" s="19"/>
      <c r="AXM5" s="19"/>
      <c r="AXN5" s="19"/>
      <c r="AXO5" s="19"/>
      <c r="AXP5" s="19"/>
      <c r="AXQ5" s="19"/>
      <c r="AXR5" s="19"/>
      <c r="AXS5" s="19"/>
      <c r="AXT5" s="19"/>
      <c r="AXU5" s="19"/>
      <c r="AXV5" s="19"/>
      <c r="AXW5" s="19"/>
      <c r="AXX5" s="19"/>
      <c r="AXY5" s="19"/>
      <c r="AXZ5" s="19"/>
      <c r="AYA5" s="19"/>
      <c r="AYB5" s="19"/>
      <c r="AYC5" s="19"/>
      <c r="AYD5" s="19"/>
      <c r="AYE5" s="19"/>
      <c r="AYF5" s="19"/>
      <c r="AYG5" s="19"/>
      <c r="AYH5" s="19"/>
      <c r="AYI5" s="19"/>
      <c r="AYJ5" s="19"/>
      <c r="AYK5" s="19"/>
      <c r="AYL5" s="19"/>
      <c r="AYM5" s="19"/>
      <c r="AYN5" s="19"/>
      <c r="AYO5" s="19"/>
      <c r="AYP5" s="19"/>
      <c r="AYQ5" s="19"/>
      <c r="AYR5" s="19"/>
      <c r="AYS5" s="19"/>
      <c r="AYT5" s="19"/>
      <c r="AYU5" s="19"/>
      <c r="AYV5" s="19"/>
      <c r="AYW5" s="19"/>
      <c r="AYX5" s="19"/>
      <c r="AYY5" s="19"/>
      <c r="AYZ5" s="19"/>
      <c r="AZA5" s="19"/>
      <c r="AZB5" s="19"/>
      <c r="AZC5" s="19"/>
      <c r="AZD5" s="19"/>
      <c r="AZE5" s="19"/>
      <c r="AZF5" s="19"/>
      <c r="AZG5" s="19"/>
      <c r="AZH5" s="19"/>
      <c r="AZI5" s="19"/>
      <c r="AZJ5" s="19"/>
      <c r="AZK5" s="19"/>
      <c r="AZL5" s="19"/>
      <c r="AZM5" s="19"/>
      <c r="AZN5" s="19"/>
      <c r="AZO5" s="19"/>
      <c r="AZP5" s="19"/>
      <c r="AZQ5" s="19"/>
      <c r="AZR5" s="19"/>
      <c r="AZS5" s="19"/>
      <c r="AZT5" s="19"/>
      <c r="AZU5" s="19"/>
      <c r="AZV5" s="19"/>
      <c r="AZW5" s="19"/>
      <c r="AZX5" s="19"/>
      <c r="AZY5" s="19"/>
      <c r="AZZ5" s="19"/>
      <c r="BAA5" s="19"/>
      <c r="BAB5" s="19"/>
      <c r="BAC5" s="19"/>
      <c r="BAD5" s="19"/>
      <c r="BAE5" s="19"/>
      <c r="BAF5" s="19"/>
      <c r="BAG5" s="19"/>
      <c r="BAH5" s="19"/>
      <c r="BAI5" s="19"/>
      <c r="BAJ5" s="19"/>
      <c r="BAK5" s="19"/>
      <c r="BAL5" s="19"/>
      <c r="BAM5" s="19"/>
      <c r="BAN5" s="19"/>
      <c r="BAO5" s="19"/>
      <c r="BAP5" s="19"/>
      <c r="BAQ5" s="19"/>
      <c r="BAR5" s="19"/>
      <c r="BAS5" s="19"/>
      <c r="BAT5" s="19"/>
      <c r="BAU5" s="19"/>
      <c r="BAV5" s="19"/>
      <c r="BAW5" s="19"/>
      <c r="BAX5" s="19"/>
      <c r="BAY5" s="19"/>
      <c r="BAZ5" s="19"/>
      <c r="BBA5" s="19"/>
      <c r="BBB5" s="19"/>
      <c r="BBC5" s="19"/>
      <c r="BBD5" s="19"/>
      <c r="BBE5" s="19"/>
      <c r="BBF5" s="19"/>
      <c r="BBG5" s="19"/>
      <c r="BBH5" s="19"/>
      <c r="BBI5" s="19"/>
      <c r="BBJ5" s="19"/>
      <c r="BBK5" s="19"/>
      <c r="BBL5" s="19"/>
      <c r="BBM5" s="19"/>
      <c r="BBN5" s="19"/>
      <c r="BBO5" s="19"/>
      <c r="BBP5" s="19"/>
      <c r="BBQ5" s="19"/>
      <c r="BBR5" s="19"/>
      <c r="BBS5" s="19"/>
      <c r="BBT5" s="19"/>
      <c r="BBU5" s="19"/>
      <c r="BBV5" s="19"/>
      <c r="BBW5" s="19"/>
      <c r="BBX5" s="19"/>
      <c r="BBY5" s="19"/>
      <c r="BBZ5" s="19"/>
      <c r="BCA5" s="19"/>
      <c r="BCB5" s="19"/>
      <c r="BCC5" s="19"/>
      <c r="BCD5" s="19"/>
      <c r="BCE5" s="19"/>
      <c r="BCF5" s="19"/>
      <c r="BCG5" s="19"/>
      <c r="BCH5" s="19"/>
      <c r="BCI5" s="19"/>
      <c r="BCJ5" s="19"/>
      <c r="BCK5" s="19"/>
      <c r="BCL5" s="19"/>
      <c r="BCM5" s="19"/>
      <c r="BCN5" s="19"/>
      <c r="BCO5" s="19"/>
      <c r="BCP5" s="19"/>
      <c r="BCQ5" s="19"/>
      <c r="BCR5" s="19"/>
      <c r="BCS5" s="19"/>
      <c r="BCT5" s="19"/>
      <c r="BCU5" s="19"/>
      <c r="BCV5" s="19"/>
      <c r="BCW5" s="19"/>
      <c r="BCX5" s="19"/>
      <c r="BCY5" s="19"/>
      <c r="BCZ5" s="19"/>
      <c r="BDA5" s="19"/>
      <c r="BDB5" s="19"/>
      <c r="BDC5" s="19"/>
      <c r="BDD5" s="19"/>
      <c r="BDE5" s="19"/>
      <c r="BDF5" s="19"/>
      <c r="BDG5" s="19"/>
      <c r="BDH5" s="19"/>
      <c r="BDI5" s="19"/>
      <c r="BDJ5" s="19"/>
      <c r="BDK5" s="19"/>
      <c r="BDL5" s="19"/>
      <c r="BDM5" s="19"/>
      <c r="BDN5" s="19"/>
      <c r="BDO5" s="19"/>
      <c r="BDP5" s="19"/>
      <c r="BDQ5" s="19"/>
      <c r="BDR5" s="19"/>
      <c r="BDS5" s="19"/>
      <c r="BDT5" s="19"/>
      <c r="BDU5" s="19"/>
      <c r="BDV5" s="19"/>
      <c r="BDW5" s="19"/>
      <c r="BDX5" s="19"/>
      <c r="BDY5" s="19"/>
      <c r="BDZ5" s="19"/>
      <c r="BEA5" s="19"/>
      <c r="BEB5" s="19"/>
      <c r="BEC5" s="19"/>
      <c r="BED5" s="19"/>
      <c r="BEE5" s="19"/>
      <c r="BEF5" s="19"/>
      <c r="BEG5" s="19"/>
      <c r="BEH5" s="19"/>
      <c r="BEI5" s="19"/>
      <c r="BEJ5" s="19"/>
      <c r="BEK5" s="19"/>
      <c r="BEL5" s="19"/>
      <c r="BEM5" s="19"/>
      <c r="BEN5" s="19"/>
      <c r="BEO5" s="19"/>
      <c r="BEP5" s="19"/>
      <c r="BEQ5" s="19"/>
      <c r="BER5" s="19"/>
      <c r="BES5" s="19"/>
      <c r="BET5" s="19"/>
      <c r="BEU5" s="19"/>
      <c r="BEV5" s="19"/>
      <c r="BEW5" s="19"/>
      <c r="BEX5" s="19"/>
      <c r="BEY5" s="19"/>
      <c r="BEZ5" s="19"/>
      <c r="BFA5" s="19"/>
      <c r="BFB5" s="19"/>
      <c r="BFC5" s="19"/>
      <c r="BFD5" s="19"/>
      <c r="BFE5" s="19"/>
      <c r="BFF5" s="19"/>
      <c r="BFG5" s="19"/>
      <c r="BFH5" s="19"/>
      <c r="BFI5" s="19"/>
      <c r="BFJ5" s="19"/>
      <c r="BFK5" s="19"/>
      <c r="BFL5" s="19"/>
      <c r="BFM5" s="19"/>
      <c r="BFN5" s="19"/>
      <c r="BFO5" s="19"/>
      <c r="BFP5" s="19"/>
      <c r="BFQ5" s="19"/>
      <c r="BFR5" s="19"/>
      <c r="BFS5" s="19"/>
      <c r="BFT5" s="19"/>
      <c r="BFU5" s="19"/>
      <c r="BFV5" s="19"/>
      <c r="BFW5" s="19"/>
      <c r="BFX5" s="19"/>
      <c r="BFY5" s="19"/>
      <c r="BFZ5" s="19"/>
      <c r="BGA5" s="19"/>
      <c r="BGB5" s="19"/>
      <c r="BGC5" s="19"/>
      <c r="BGD5" s="19"/>
      <c r="BGE5" s="19"/>
      <c r="BGF5" s="19"/>
      <c r="BGG5" s="19"/>
      <c r="BGH5" s="19"/>
      <c r="BGI5" s="19"/>
      <c r="BGJ5" s="19"/>
      <c r="BGK5" s="19"/>
      <c r="BGL5" s="19"/>
      <c r="BGM5" s="19"/>
      <c r="BGN5" s="19"/>
      <c r="BGO5" s="19"/>
      <c r="BGP5" s="19"/>
      <c r="BGQ5" s="19"/>
      <c r="BGR5" s="19"/>
      <c r="BGS5" s="19"/>
      <c r="BGT5" s="19"/>
      <c r="BGU5" s="19"/>
      <c r="BGV5" s="19"/>
      <c r="BGW5" s="19"/>
      <c r="BGX5" s="19"/>
      <c r="BGY5" s="19"/>
      <c r="BGZ5" s="19"/>
      <c r="BHA5" s="19"/>
      <c r="BHB5" s="19"/>
      <c r="BHC5" s="19"/>
      <c r="BHD5" s="19"/>
      <c r="BHE5" s="19"/>
      <c r="BHF5" s="19"/>
      <c r="BHG5" s="19"/>
      <c r="BHH5" s="19"/>
      <c r="BHI5" s="19"/>
      <c r="BHJ5" s="19"/>
      <c r="BHK5" s="19"/>
      <c r="BHL5" s="19"/>
      <c r="BHM5" s="19"/>
      <c r="BHN5" s="19"/>
      <c r="BHO5" s="19"/>
      <c r="BHP5" s="19"/>
      <c r="BHQ5" s="19"/>
      <c r="BHR5" s="19"/>
      <c r="BHS5" s="19"/>
      <c r="BHT5" s="19"/>
      <c r="BHU5" s="19"/>
      <c r="BHV5" s="19"/>
      <c r="BHW5" s="19"/>
      <c r="BHX5" s="19"/>
      <c r="BHY5" s="19"/>
      <c r="BHZ5" s="19"/>
      <c r="BIA5" s="19"/>
      <c r="BIB5" s="19"/>
      <c r="BIC5" s="19"/>
      <c r="BID5" s="19"/>
      <c r="BIE5" s="19"/>
      <c r="BIF5" s="19"/>
      <c r="BIG5" s="19"/>
      <c r="BIH5" s="19"/>
      <c r="BII5" s="19"/>
      <c r="BIJ5" s="19"/>
      <c r="BIK5" s="19"/>
      <c r="BIL5" s="19"/>
      <c r="BIM5" s="19"/>
      <c r="BIN5" s="19"/>
      <c r="BIO5" s="19"/>
      <c r="BIP5" s="19"/>
      <c r="BIQ5" s="19"/>
      <c r="BIR5" s="19"/>
      <c r="BIS5" s="19"/>
      <c r="BIT5" s="19"/>
      <c r="BIU5" s="19"/>
      <c r="BIV5" s="19"/>
      <c r="BIW5" s="19"/>
      <c r="BIX5" s="19"/>
      <c r="BIY5" s="19"/>
      <c r="BIZ5" s="19"/>
      <c r="BJA5" s="19"/>
      <c r="BJB5" s="19"/>
      <c r="BJC5" s="19"/>
      <c r="BJD5" s="19"/>
      <c r="BJE5" s="19"/>
      <c r="BJF5" s="19"/>
      <c r="BJG5" s="19"/>
      <c r="BJH5" s="19"/>
      <c r="BJI5" s="19"/>
      <c r="BJJ5" s="19"/>
      <c r="BJK5" s="19"/>
      <c r="BJL5" s="19"/>
      <c r="BJM5" s="19"/>
      <c r="BJN5" s="19"/>
      <c r="BJO5" s="19"/>
      <c r="BJP5" s="19"/>
      <c r="BJQ5" s="19"/>
      <c r="BJR5" s="19"/>
      <c r="BJS5" s="19"/>
      <c r="BJT5" s="19"/>
      <c r="BJU5" s="19"/>
      <c r="BJV5" s="19"/>
      <c r="BJW5" s="19"/>
      <c r="BJX5" s="19"/>
      <c r="BJY5" s="19"/>
      <c r="BJZ5" s="19"/>
      <c r="BKA5" s="19"/>
      <c r="BKB5" s="19"/>
      <c r="BKC5" s="19"/>
      <c r="BKD5" s="19"/>
      <c r="BKE5" s="19"/>
      <c r="BKF5" s="19"/>
      <c r="BKG5" s="19"/>
      <c r="BKH5" s="19"/>
      <c r="BKI5" s="19"/>
      <c r="BKJ5" s="19"/>
      <c r="BKK5" s="19"/>
      <c r="BKL5" s="19"/>
      <c r="BKM5" s="19"/>
      <c r="BKN5" s="19"/>
      <c r="BKO5" s="19"/>
      <c r="BKP5" s="19"/>
      <c r="BKQ5" s="19"/>
      <c r="BKR5" s="19"/>
      <c r="BKS5" s="19"/>
      <c r="BKT5" s="19"/>
      <c r="BKU5" s="19"/>
      <c r="BKV5" s="19"/>
      <c r="BKW5" s="19"/>
      <c r="BKX5" s="19"/>
      <c r="BKY5" s="19"/>
      <c r="BKZ5" s="19"/>
      <c r="BLA5" s="19"/>
      <c r="BLB5" s="19"/>
      <c r="BLC5" s="19"/>
      <c r="BLD5" s="19"/>
      <c r="BLE5" s="19"/>
      <c r="BLF5" s="19"/>
      <c r="BLG5" s="19"/>
      <c r="BLH5" s="19"/>
      <c r="BLI5" s="19"/>
      <c r="BLJ5" s="19"/>
      <c r="BLK5" s="19"/>
      <c r="BLL5" s="19"/>
      <c r="BLM5" s="19"/>
      <c r="BLN5" s="19"/>
      <c r="BLO5" s="19"/>
      <c r="BLP5" s="19"/>
      <c r="BLQ5" s="19"/>
      <c r="BLR5" s="19"/>
      <c r="BLS5" s="19"/>
      <c r="BLT5" s="19"/>
      <c r="BLU5" s="19"/>
      <c r="BLV5" s="19"/>
      <c r="BLW5" s="19"/>
      <c r="BLX5" s="19"/>
      <c r="BLY5" s="19"/>
      <c r="BLZ5" s="19"/>
      <c r="BMA5" s="19"/>
      <c r="BMB5" s="19"/>
      <c r="BMC5" s="19"/>
      <c r="BMD5" s="19"/>
      <c r="BME5" s="19"/>
      <c r="BMF5" s="19"/>
      <c r="BMG5" s="19"/>
      <c r="BMH5" s="19"/>
      <c r="BMI5" s="19"/>
      <c r="BMJ5" s="19"/>
      <c r="BMK5" s="19"/>
      <c r="BML5" s="19"/>
      <c r="BMM5" s="19"/>
      <c r="BMN5" s="19"/>
      <c r="BMO5" s="19"/>
      <c r="BMP5" s="19"/>
      <c r="BMQ5" s="19"/>
      <c r="BMR5" s="19"/>
      <c r="BMS5" s="19"/>
      <c r="BMT5" s="19"/>
      <c r="BMU5" s="19"/>
      <c r="BMV5" s="19"/>
      <c r="BMW5" s="19"/>
      <c r="BMX5" s="19"/>
      <c r="BMY5" s="19"/>
      <c r="BMZ5" s="19"/>
      <c r="BNA5" s="19"/>
      <c r="BNB5" s="19"/>
      <c r="BNC5" s="19"/>
      <c r="BND5" s="19"/>
      <c r="BNE5" s="19"/>
      <c r="BNF5" s="19"/>
      <c r="BNG5" s="19"/>
      <c r="BNH5" s="19"/>
      <c r="BNI5" s="19"/>
      <c r="BNJ5" s="19"/>
      <c r="BNK5" s="19"/>
      <c r="BNL5" s="19"/>
      <c r="BNM5" s="19"/>
      <c r="BNN5" s="19"/>
      <c r="BNO5" s="19"/>
      <c r="BNP5" s="19"/>
      <c r="BNQ5" s="19"/>
      <c r="BNR5" s="19"/>
      <c r="BNS5" s="19"/>
      <c r="BNT5" s="19"/>
      <c r="BNU5" s="19"/>
      <c r="BNV5" s="19"/>
      <c r="BNW5" s="19"/>
      <c r="BNX5" s="19"/>
      <c r="BNY5" s="19"/>
      <c r="BNZ5" s="19"/>
      <c r="BOA5" s="19"/>
      <c r="BOB5" s="19"/>
      <c r="BOC5" s="19"/>
      <c r="BOD5" s="19"/>
      <c r="BOE5" s="19"/>
      <c r="BOF5" s="19"/>
      <c r="BOG5" s="19"/>
      <c r="BOH5" s="19"/>
      <c r="BOI5" s="19"/>
      <c r="BOJ5" s="19"/>
      <c r="BOK5" s="19"/>
      <c r="BOL5" s="19"/>
      <c r="BOM5" s="19"/>
      <c r="BON5" s="19"/>
      <c r="BOO5" s="19"/>
      <c r="BOP5" s="19"/>
      <c r="BOQ5" s="19"/>
      <c r="BOR5" s="19"/>
      <c r="BOS5" s="19"/>
      <c r="BOT5" s="19"/>
      <c r="BOU5" s="19"/>
      <c r="BOV5" s="19"/>
      <c r="BOW5" s="19"/>
      <c r="BOX5" s="19"/>
      <c r="BOY5" s="19"/>
      <c r="BOZ5" s="19"/>
      <c r="BPA5" s="19"/>
      <c r="BPB5" s="19"/>
      <c r="BPC5" s="19"/>
      <c r="BPD5" s="19"/>
      <c r="BPE5" s="19"/>
      <c r="BPF5" s="19"/>
      <c r="BPG5" s="19"/>
      <c r="BPH5" s="19"/>
      <c r="BPI5" s="19"/>
      <c r="BPJ5" s="19"/>
      <c r="BPK5" s="19"/>
      <c r="BPL5" s="19"/>
      <c r="BPM5" s="19"/>
      <c r="BPN5" s="19"/>
      <c r="BPO5" s="19"/>
      <c r="BPP5" s="19"/>
      <c r="BPQ5" s="19"/>
      <c r="BPR5" s="19"/>
      <c r="BPS5" s="19"/>
      <c r="BPT5" s="19"/>
      <c r="BPU5" s="19"/>
      <c r="BPV5" s="19"/>
      <c r="BPW5" s="19"/>
      <c r="BPX5" s="19"/>
      <c r="BPY5" s="19"/>
      <c r="BPZ5" s="19"/>
      <c r="BQA5" s="19"/>
      <c r="BQB5" s="19"/>
      <c r="BQC5" s="19"/>
      <c r="BQD5" s="19"/>
      <c r="BQE5" s="19"/>
      <c r="BQF5" s="19"/>
      <c r="BQG5" s="19"/>
      <c r="BQH5" s="19"/>
      <c r="BQI5" s="19"/>
      <c r="BQJ5" s="19"/>
      <c r="BQK5" s="19"/>
      <c r="BQL5" s="19"/>
      <c r="BQM5" s="19"/>
      <c r="BQN5" s="19"/>
      <c r="BQO5" s="19"/>
      <c r="BQP5" s="19"/>
      <c r="BQQ5" s="19"/>
      <c r="BQR5" s="19"/>
      <c r="BQS5" s="19"/>
      <c r="BQT5" s="19"/>
      <c r="BQU5" s="19"/>
      <c r="BQV5" s="19"/>
      <c r="BQW5" s="19"/>
      <c r="BQX5" s="19"/>
      <c r="BQY5" s="19"/>
      <c r="BQZ5" s="19"/>
      <c r="BRA5" s="19"/>
      <c r="BRB5" s="19"/>
      <c r="BRC5" s="19"/>
      <c r="BRD5" s="19"/>
      <c r="BRE5" s="19"/>
      <c r="BRF5" s="19"/>
      <c r="BRG5" s="19"/>
      <c r="BRH5" s="19"/>
      <c r="BRI5" s="19"/>
      <c r="BRJ5" s="19"/>
      <c r="BRK5" s="19"/>
      <c r="BRL5" s="19"/>
      <c r="BRM5" s="19"/>
      <c r="BRN5" s="19"/>
      <c r="BRO5" s="19"/>
      <c r="BRP5" s="19"/>
      <c r="BRQ5" s="19"/>
      <c r="BRR5" s="19"/>
      <c r="BRS5" s="19"/>
      <c r="BRT5" s="19"/>
      <c r="BRU5" s="19"/>
      <c r="BRV5" s="19"/>
      <c r="BRW5" s="19"/>
      <c r="BRX5" s="19"/>
      <c r="BRY5" s="19"/>
      <c r="BRZ5" s="19"/>
      <c r="BSA5" s="19"/>
      <c r="BSB5" s="19"/>
      <c r="BSC5" s="19"/>
      <c r="BSD5" s="19"/>
      <c r="BSE5" s="19"/>
      <c r="BSF5" s="19"/>
      <c r="BSG5" s="19"/>
      <c r="BSH5" s="19"/>
      <c r="BSI5" s="19"/>
      <c r="BSJ5" s="19"/>
      <c r="BSK5" s="19"/>
      <c r="BSL5" s="19"/>
      <c r="BSM5" s="19"/>
      <c r="BSN5" s="19"/>
      <c r="BSO5" s="19"/>
      <c r="BSP5" s="19"/>
      <c r="BSQ5" s="19"/>
      <c r="BSR5" s="19"/>
      <c r="BSS5" s="19"/>
      <c r="BST5" s="19"/>
      <c r="BSU5" s="19"/>
      <c r="BSV5" s="19"/>
      <c r="BSW5" s="19"/>
      <c r="BSX5" s="19"/>
      <c r="BSY5" s="19"/>
      <c r="BSZ5" s="19"/>
      <c r="BTA5" s="19"/>
      <c r="BTB5" s="19"/>
      <c r="BTC5" s="19"/>
      <c r="BTD5" s="19"/>
      <c r="BTE5" s="19"/>
      <c r="BTF5" s="19"/>
      <c r="BTG5" s="19"/>
      <c r="BTH5" s="19"/>
      <c r="BTI5" s="19"/>
      <c r="BTJ5" s="19"/>
      <c r="BTK5" s="19"/>
      <c r="BTL5" s="19"/>
      <c r="BTM5" s="19"/>
      <c r="BTN5" s="19"/>
      <c r="BTO5" s="19"/>
      <c r="BTP5" s="19"/>
      <c r="BTQ5" s="19"/>
      <c r="BTR5" s="19"/>
      <c r="BTS5" s="19"/>
      <c r="BTT5" s="19"/>
      <c r="BTU5" s="19"/>
      <c r="BTV5" s="19"/>
      <c r="BTW5" s="19"/>
      <c r="BTX5" s="19"/>
      <c r="BTY5" s="19"/>
      <c r="BTZ5" s="19"/>
      <c r="BUA5" s="19"/>
      <c r="BUB5" s="19"/>
      <c r="BUC5" s="19"/>
      <c r="BUD5" s="19"/>
      <c r="BUE5" s="19"/>
      <c r="BUF5" s="19"/>
      <c r="BUG5" s="19"/>
      <c r="BUH5" s="19"/>
      <c r="BUI5" s="19"/>
      <c r="BUJ5" s="19"/>
      <c r="BUK5" s="19"/>
      <c r="BUL5" s="19"/>
      <c r="BUM5" s="19"/>
      <c r="BUN5" s="19"/>
      <c r="BUO5" s="19"/>
      <c r="BUP5" s="19"/>
      <c r="BUQ5" s="19"/>
      <c r="BUR5" s="19"/>
      <c r="BUS5" s="19"/>
      <c r="BUT5" s="19"/>
      <c r="BUU5" s="19"/>
      <c r="BUV5" s="19"/>
      <c r="BUW5" s="19"/>
      <c r="BUX5" s="19"/>
      <c r="BUY5" s="19"/>
      <c r="BUZ5" s="19"/>
      <c r="BVA5" s="19"/>
      <c r="BVB5" s="19"/>
      <c r="BVC5" s="19"/>
      <c r="BVD5" s="19"/>
      <c r="BVE5" s="19"/>
      <c r="BVF5" s="19"/>
      <c r="BVG5" s="19"/>
      <c r="BVH5" s="19"/>
      <c r="BVI5" s="19"/>
      <c r="BVJ5" s="19"/>
      <c r="BVK5" s="19"/>
      <c r="BVL5" s="19"/>
      <c r="BVM5" s="19"/>
      <c r="BVN5" s="19"/>
      <c r="BVO5" s="19"/>
      <c r="BVP5" s="19"/>
      <c r="BVQ5" s="19"/>
      <c r="BVR5" s="19"/>
      <c r="BVS5" s="19"/>
      <c r="BVT5" s="19"/>
      <c r="BVU5" s="19"/>
      <c r="BVV5" s="19"/>
      <c r="BVW5" s="19"/>
      <c r="BVX5" s="19"/>
      <c r="BVY5" s="19"/>
      <c r="BVZ5" s="19"/>
      <c r="BWA5" s="19"/>
      <c r="BWB5" s="19"/>
      <c r="BWC5" s="19"/>
      <c r="BWD5" s="19"/>
      <c r="BWE5" s="19"/>
      <c r="BWF5" s="19"/>
      <c r="BWG5" s="19"/>
      <c r="BWH5" s="19"/>
      <c r="BWI5" s="19"/>
      <c r="BWJ5" s="19"/>
      <c r="BWK5" s="19"/>
      <c r="BWL5" s="19"/>
      <c r="BWM5" s="19"/>
      <c r="BWN5" s="19"/>
      <c r="BWO5" s="19"/>
      <c r="BWP5" s="19"/>
      <c r="BWQ5" s="19"/>
      <c r="BWR5" s="19"/>
      <c r="BWS5" s="19"/>
      <c r="BWT5" s="19"/>
      <c r="BWU5" s="19"/>
      <c r="BWV5" s="19"/>
      <c r="BWW5" s="19"/>
      <c r="BWX5" s="19"/>
      <c r="BWY5" s="19"/>
      <c r="BWZ5" s="19"/>
      <c r="BXA5" s="19"/>
      <c r="BXB5" s="19"/>
      <c r="BXC5" s="19"/>
      <c r="BXD5" s="19"/>
      <c r="BXE5" s="19"/>
      <c r="BXF5" s="19"/>
      <c r="BXG5" s="19"/>
      <c r="BXH5" s="19"/>
      <c r="BXI5" s="19"/>
      <c r="BXJ5" s="19"/>
      <c r="BXK5" s="19"/>
      <c r="BXL5" s="19"/>
      <c r="BXM5" s="19"/>
      <c r="BXN5" s="19"/>
      <c r="BXO5" s="19"/>
      <c r="BXP5" s="19"/>
      <c r="BXQ5" s="19"/>
      <c r="BXR5" s="19"/>
      <c r="BXS5" s="19"/>
      <c r="BXT5" s="19"/>
      <c r="BXU5" s="19"/>
      <c r="BXV5" s="19"/>
      <c r="BXW5" s="19"/>
      <c r="BXX5" s="19"/>
      <c r="BXY5" s="19"/>
      <c r="BXZ5" s="19"/>
      <c r="BYA5" s="19"/>
      <c r="BYB5" s="19"/>
      <c r="BYC5" s="19"/>
      <c r="BYD5" s="19"/>
      <c r="BYE5" s="19"/>
      <c r="BYF5" s="19"/>
      <c r="BYG5" s="19"/>
      <c r="BYH5" s="19"/>
      <c r="BYI5" s="19"/>
      <c r="BYJ5" s="19"/>
      <c r="BYK5" s="19"/>
      <c r="BYL5" s="19"/>
      <c r="BYM5" s="19"/>
      <c r="BYN5" s="19"/>
      <c r="BYO5" s="19"/>
      <c r="BYP5" s="19"/>
      <c r="BYQ5" s="19"/>
      <c r="BYR5" s="19"/>
      <c r="BYS5" s="19"/>
      <c r="BYT5" s="19"/>
      <c r="BYU5" s="19"/>
      <c r="BYV5" s="19"/>
      <c r="BYW5" s="19"/>
      <c r="BYX5" s="19"/>
      <c r="BYY5" s="19"/>
      <c r="BYZ5" s="19"/>
      <c r="BZA5" s="19"/>
      <c r="BZB5" s="19"/>
      <c r="BZC5" s="19"/>
      <c r="BZD5" s="19"/>
      <c r="BZE5" s="19"/>
      <c r="BZF5" s="19"/>
      <c r="BZG5" s="19"/>
      <c r="BZH5" s="19"/>
      <c r="BZI5" s="19"/>
      <c r="BZJ5" s="19"/>
      <c r="BZK5" s="19"/>
      <c r="BZL5" s="19"/>
      <c r="BZM5" s="19"/>
      <c r="BZN5" s="19"/>
      <c r="BZO5" s="19"/>
      <c r="BZP5" s="19"/>
      <c r="BZQ5" s="19"/>
      <c r="BZR5" s="19"/>
      <c r="BZS5" s="19"/>
      <c r="BZT5" s="19"/>
      <c r="BZU5" s="19"/>
      <c r="BZV5" s="19"/>
      <c r="BZW5" s="19"/>
      <c r="BZX5" s="19"/>
      <c r="BZY5" s="19"/>
      <c r="BZZ5" s="19"/>
      <c r="CAA5" s="19"/>
      <c r="CAB5" s="19"/>
      <c r="CAC5" s="19"/>
      <c r="CAD5" s="19"/>
      <c r="CAE5" s="19"/>
      <c r="CAF5" s="19"/>
      <c r="CAG5" s="19"/>
      <c r="CAH5" s="19"/>
      <c r="CAI5" s="19"/>
      <c r="CAJ5" s="19"/>
      <c r="CAK5" s="19"/>
      <c r="CAL5" s="19"/>
      <c r="CAM5" s="19"/>
      <c r="CAN5" s="19"/>
      <c r="CAO5" s="19"/>
      <c r="CAP5" s="19"/>
      <c r="CAQ5" s="19"/>
      <c r="CAR5" s="19"/>
      <c r="CAS5" s="19"/>
      <c r="CAT5" s="19"/>
      <c r="CAU5" s="19"/>
      <c r="CAV5" s="19"/>
      <c r="CAW5" s="19"/>
      <c r="CAX5" s="19"/>
      <c r="CAY5" s="19"/>
      <c r="CAZ5" s="19"/>
      <c r="CBA5" s="19"/>
      <c r="CBB5" s="19"/>
      <c r="CBC5" s="19"/>
      <c r="CBD5" s="19"/>
      <c r="CBE5" s="19"/>
      <c r="CBF5" s="19"/>
      <c r="CBG5" s="19"/>
      <c r="CBH5" s="19"/>
      <c r="CBI5" s="19"/>
      <c r="CBJ5" s="19"/>
      <c r="CBK5" s="19"/>
      <c r="CBL5" s="19"/>
      <c r="CBM5" s="19"/>
      <c r="CBN5" s="19"/>
      <c r="CBO5" s="19"/>
      <c r="CBP5" s="19"/>
      <c r="CBQ5" s="19"/>
      <c r="CBR5" s="19"/>
      <c r="CBS5" s="19"/>
      <c r="CBT5" s="19"/>
      <c r="CBU5" s="19"/>
      <c r="CBV5" s="19"/>
      <c r="CBW5" s="19"/>
      <c r="CBX5" s="19"/>
      <c r="CBY5" s="19"/>
      <c r="CBZ5" s="19"/>
      <c r="CCA5" s="19"/>
      <c r="CCB5" s="19"/>
      <c r="CCC5" s="19"/>
      <c r="CCD5" s="19"/>
      <c r="CCE5" s="19"/>
      <c r="CCF5" s="19"/>
      <c r="CCG5" s="19"/>
      <c r="CCH5" s="19"/>
      <c r="CCI5" s="19"/>
      <c r="CCJ5" s="19"/>
      <c r="CCK5" s="19"/>
      <c r="CCL5" s="19"/>
      <c r="CCM5" s="19"/>
      <c r="CCN5" s="19"/>
      <c r="CCO5" s="19"/>
      <c r="CCP5" s="19"/>
      <c r="CCQ5" s="19"/>
      <c r="CCR5" s="19"/>
      <c r="CCS5" s="19"/>
      <c r="CCT5" s="19"/>
      <c r="CCU5" s="19"/>
      <c r="CCV5" s="19"/>
      <c r="CCW5" s="19"/>
      <c r="CCX5" s="19"/>
      <c r="CCY5" s="19"/>
      <c r="CCZ5" s="19"/>
      <c r="CDA5" s="19"/>
      <c r="CDB5" s="19"/>
      <c r="CDC5" s="19"/>
      <c r="CDD5" s="19"/>
      <c r="CDE5" s="19"/>
      <c r="CDF5" s="19"/>
      <c r="CDG5" s="19"/>
      <c r="CDH5" s="19"/>
      <c r="CDI5" s="19"/>
      <c r="CDJ5" s="19"/>
      <c r="CDK5" s="19"/>
      <c r="CDL5" s="19"/>
      <c r="CDM5" s="19"/>
      <c r="CDN5" s="19"/>
      <c r="CDO5" s="19"/>
      <c r="CDP5" s="19"/>
      <c r="CDQ5" s="19"/>
      <c r="CDR5" s="19"/>
      <c r="CDS5" s="19"/>
      <c r="CDT5" s="19"/>
      <c r="CDU5" s="19"/>
      <c r="CDV5" s="19"/>
      <c r="CDW5" s="19"/>
      <c r="CDX5" s="19"/>
      <c r="CDY5" s="19"/>
      <c r="CDZ5" s="19"/>
      <c r="CEA5" s="19"/>
      <c r="CEB5" s="19"/>
      <c r="CEC5" s="19"/>
      <c r="CED5" s="19"/>
      <c r="CEE5" s="19"/>
      <c r="CEF5" s="19"/>
      <c r="CEG5" s="19"/>
      <c r="CEH5" s="19"/>
      <c r="CEI5" s="19"/>
      <c r="CEJ5" s="19"/>
      <c r="CEK5" s="19"/>
      <c r="CEL5" s="19"/>
      <c r="CEM5" s="19"/>
      <c r="CEN5" s="19"/>
      <c r="CEO5" s="19"/>
      <c r="CEP5" s="19"/>
      <c r="CEQ5" s="19"/>
      <c r="CER5" s="19"/>
      <c r="CES5" s="19"/>
      <c r="CET5" s="19"/>
      <c r="CEU5" s="19"/>
      <c r="CEV5" s="19"/>
      <c r="CEW5" s="19"/>
      <c r="CEX5" s="19"/>
      <c r="CEY5" s="19"/>
      <c r="CEZ5" s="19"/>
      <c r="CFA5" s="19"/>
      <c r="CFB5" s="19"/>
      <c r="CFC5" s="19"/>
      <c r="CFD5" s="19"/>
      <c r="CFE5" s="19"/>
      <c r="CFF5" s="19"/>
      <c r="CFG5" s="19"/>
      <c r="CFH5" s="19"/>
      <c r="CFI5" s="19"/>
      <c r="CFJ5" s="19"/>
      <c r="CFK5" s="19"/>
      <c r="CFL5" s="19"/>
      <c r="CFM5" s="19"/>
      <c r="CFN5" s="19"/>
      <c r="CFO5" s="19"/>
      <c r="CFP5" s="19"/>
      <c r="CFQ5" s="19"/>
      <c r="CFR5" s="19"/>
      <c r="CFS5" s="19"/>
      <c r="CFT5" s="19"/>
      <c r="CFU5" s="19"/>
      <c r="CFV5" s="19"/>
      <c r="CFW5" s="19"/>
      <c r="CFX5" s="19"/>
      <c r="CFY5" s="19"/>
      <c r="CFZ5" s="19"/>
      <c r="CGA5" s="19"/>
      <c r="CGB5" s="19"/>
      <c r="CGC5" s="19"/>
      <c r="CGD5" s="19"/>
      <c r="CGE5" s="19"/>
      <c r="CGF5" s="19"/>
      <c r="CGG5" s="19"/>
      <c r="CGH5" s="19"/>
      <c r="CGI5" s="19"/>
      <c r="CGJ5" s="19"/>
      <c r="CGK5" s="19"/>
      <c r="CGL5" s="19"/>
      <c r="CGM5" s="19"/>
      <c r="CGN5" s="19"/>
      <c r="CGO5" s="19"/>
      <c r="CGP5" s="19"/>
      <c r="CGQ5" s="19"/>
      <c r="CGR5" s="19"/>
      <c r="CGS5" s="19"/>
      <c r="CGT5" s="19"/>
      <c r="CGU5" s="19"/>
      <c r="CGV5" s="19"/>
      <c r="CGW5" s="19"/>
      <c r="CGX5" s="19"/>
      <c r="CGY5" s="19"/>
      <c r="CGZ5" s="19"/>
      <c r="CHA5" s="19"/>
      <c r="CHB5" s="19"/>
      <c r="CHC5" s="19"/>
      <c r="CHD5" s="19"/>
      <c r="CHE5" s="19"/>
      <c r="CHF5" s="19"/>
      <c r="CHG5" s="19"/>
      <c r="CHH5" s="19"/>
      <c r="CHI5" s="19"/>
      <c r="CHJ5" s="19"/>
      <c r="CHK5" s="19"/>
      <c r="CHL5" s="19"/>
      <c r="CHM5" s="19"/>
      <c r="CHN5" s="19"/>
      <c r="CHO5" s="19"/>
      <c r="CHP5" s="19"/>
      <c r="CHQ5" s="19"/>
      <c r="CHR5" s="19"/>
      <c r="CHS5" s="19"/>
      <c r="CHT5" s="19"/>
      <c r="CHU5" s="19"/>
      <c r="CHV5" s="19"/>
      <c r="CHW5" s="19"/>
      <c r="CHX5" s="19"/>
      <c r="CHY5" s="19"/>
      <c r="CHZ5" s="19"/>
      <c r="CIA5" s="19"/>
      <c r="CIB5" s="19"/>
      <c r="CIC5" s="19"/>
      <c r="CID5" s="19"/>
      <c r="CIE5" s="19"/>
      <c r="CIF5" s="19"/>
      <c r="CIG5" s="19"/>
      <c r="CIH5" s="19"/>
      <c r="CII5" s="19"/>
      <c r="CIJ5" s="19"/>
      <c r="CIK5" s="19"/>
      <c r="CIL5" s="19"/>
      <c r="CIM5" s="19"/>
      <c r="CIN5" s="19"/>
      <c r="CIO5" s="19"/>
      <c r="CIP5" s="19"/>
      <c r="CIQ5" s="19"/>
      <c r="CIR5" s="19"/>
      <c r="CIS5" s="19"/>
      <c r="CIT5" s="19"/>
      <c r="CIU5" s="19"/>
      <c r="CIV5" s="19"/>
      <c r="CIW5" s="19"/>
      <c r="CIX5" s="19"/>
      <c r="CIY5" s="19"/>
      <c r="CIZ5" s="19"/>
      <c r="CJA5" s="19"/>
      <c r="CJB5" s="19"/>
      <c r="CJC5" s="19"/>
      <c r="CJD5" s="19"/>
      <c r="CJE5" s="19"/>
      <c r="CJF5" s="19"/>
      <c r="CJG5" s="19"/>
      <c r="CJH5" s="19"/>
      <c r="CJI5" s="19"/>
      <c r="CJJ5" s="19"/>
      <c r="CJK5" s="19"/>
      <c r="CJL5" s="19"/>
      <c r="CJM5" s="19"/>
      <c r="CJN5" s="19"/>
      <c r="CJO5" s="19"/>
      <c r="CJP5" s="19"/>
      <c r="CJQ5" s="19"/>
      <c r="CJR5" s="19"/>
      <c r="CJS5" s="19"/>
      <c r="CJT5" s="19"/>
      <c r="CJU5" s="19"/>
      <c r="CJV5" s="19"/>
      <c r="CJW5" s="19"/>
      <c r="CJX5" s="19"/>
      <c r="CJY5" s="19"/>
      <c r="CJZ5" s="19"/>
      <c r="CKA5" s="19"/>
      <c r="CKB5" s="19"/>
      <c r="CKC5" s="19"/>
      <c r="CKD5" s="19"/>
      <c r="CKE5" s="19"/>
      <c r="CKF5" s="19"/>
      <c r="CKG5" s="19"/>
      <c r="CKH5" s="19"/>
      <c r="CKI5" s="19"/>
      <c r="CKJ5" s="19"/>
      <c r="CKK5" s="19"/>
      <c r="CKL5" s="19"/>
      <c r="CKM5" s="19"/>
      <c r="CKN5" s="19"/>
      <c r="CKO5" s="19"/>
      <c r="CKP5" s="19"/>
      <c r="CKQ5" s="19"/>
      <c r="CKR5" s="19"/>
      <c r="CKS5" s="19"/>
      <c r="CKT5" s="19"/>
      <c r="CKU5" s="19"/>
      <c r="CKV5" s="19"/>
      <c r="CKW5" s="19"/>
      <c r="CKX5" s="19"/>
      <c r="CKY5" s="19"/>
      <c r="CKZ5" s="19"/>
      <c r="CLA5" s="19"/>
      <c r="CLB5" s="19"/>
      <c r="CLC5" s="19"/>
      <c r="CLD5" s="19"/>
      <c r="CLE5" s="19"/>
      <c r="CLF5" s="19"/>
      <c r="CLG5" s="19"/>
      <c r="CLH5" s="19"/>
      <c r="CLI5" s="19"/>
      <c r="CLJ5" s="19"/>
      <c r="CLK5" s="19"/>
      <c r="CLL5" s="19"/>
      <c r="CLM5" s="19"/>
      <c r="CLN5" s="19"/>
      <c r="CLO5" s="19"/>
      <c r="CLP5" s="19"/>
      <c r="CLQ5" s="19"/>
      <c r="CLR5" s="19"/>
      <c r="CLS5" s="19"/>
      <c r="CLT5" s="19"/>
      <c r="CLU5" s="19"/>
      <c r="CLV5" s="19"/>
      <c r="CLW5" s="19"/>
      <c r="CLX5" s="19"/>
      <c r="CLY5" s="19"/>
      <c r="CLZ5" s="19"/>
      <c r="CMA5" s="19"/>
      <c r="CMB5" s="19"/>
      <c r="CMC5" s="19"/>
      <c r="CMD5" s="19"/>
      <c r="CME5" s="19"/>
      <c r="CMF5" s="19"/>
      <c r="CMG5" s="19"/>
      <c r="CMH5" s="19"/>
      <c r="CMI5" s="19"/>
      <c r="CMJ5" s="19"/>
      <c r="CMK5" s="19"/>
      <c r="CML5" s="19"/>
      <c r="CMM5" s="19"/>
      <c r="CMN5" s="19"/>
      <c r="CMO5" s="19"/>
      <c r="CMP5" s="19"/>
      <c r="CMQ5" s="19"/>
      <c r="CMR5" s="19"/>
      <c r="CMS5" s="19"/>
      <c r="CMT5" s="19"/>
      <c r="CMU5" s="19"/>
      <c r="CMV5" s="19"/>
      <c r="CMW5" s="19"/>
      <c r="CMX5" s="19"/>
      <c r="CMY5" s="19"/>
      <c r="CMZ5" s="19"/>
      <c r="CNA5" s="19"/>
      <c r="CNB5" s="19"/>
      <c r="CNC5" s="19"/>
      <c r="CND5" s="19"/>
      <c r="CNE5" s="19"/>
      <c r="CNF5" s="19"/>
      <c r="CNG5" s="19"/>
      <c r="CNH5" s="19"/>
      <c r="CNI5" s="19"/>
      <c r="CNJ5" s="19"/>
      <c r="CNK5" s="19"/>
      <c r="CNL5" s="19"/>
      <c r="CNM5" s="19"/>
      <c r="CNN5" s="19"/>
      <c r="CNO5" s="19"/>
      <c r="CNP5" s="19"/>
      <c r="CNQ5" s="19"/>
      <c r="CNR5" s="19"/>
      <c r="CNS5" s="19"/>
      <c r="CNT5" s="19"/>
      <c r="CNU5" s="19"/>
      <c r="CNV5" s="19"/>
      <c r="CNW5" s="19"/>
      <c r="CNX5" s="19"/>
      <c r="CNY5" s="19"/>
      <c r="CNZ5" s="19"/>
      <c r="COA5" s="19"/>
      <c r="COB5" s="19"/>
      <c r="COC5" s="19"/>
      <c r="COD5" s="19"/>
      <c r="COE5" s="19"/>
      <c r="COF5" s="19"/>
      <c r="COG5" s="19"/>
      <c r="COH5" s="19"/>
      <c r="COI5" s="19"/>
      <c r="COJ5" s="19"/>
      <c r="COK5" s="19"/>
      <c r="COL5" s="19"/>
      <c r="COM5" s="19"/>
      <c r="CON5" s="19"/>
      <c r="COO5" s="19"/>
      <c r="COP5" s="19"/>
      <c r="COQ5" s="19"/>
      <c r="COR5" s="19"/>
      <c r="COS5" s="19"/>
      <c r="COT5" s="19"/>
      <c r="COU5" s="19"/>
      <c r="COV5" s="19"/>
      <c r="COW5" s="19"/>
      <c r="COX5" s="19"/>
      <c r="COY5" s="19"/>
      <c r="COZ5" s="19"/>
      <c r="CPA5" s="19"/>
      <c r="CPB5" s="19"/>
      <c r="CPC5" s="19"/>
      <c r="CPD5" s="19"/>
      <c r="CPE5" s="19"/>
      <c r="CPF5" s="19"/>
      <c r="CPG5" s="19"/>
      <c r="CPH5" s="19"/>
      <c r="CPI5" s="19"/>
      <c r="CPJ5" s="19"/>
      <c r="CPK5" s="19"/>
      <c r="CPL5" s="19"/>
      <c r="CPM5" s="19"/>
      <c r="CPN5" s="19"/>
      <c r="CPO5" s="19"/>
      <c r="CPP5" s="19"/>
      <c r="CPQ5" s="19"/>
      <c r="CPR5" s="19"/>
      <c r="CPS5" s="19"/>
      <c r="CPT5" s="19"/>
      <c r="CPU5" s="19"/>
      <c r="CPV5" s="19"/>
      <c r="CPW5" s="19"/>
      <c r="CPX5" s="19"/>
      <c r="CPY5" s="19"/>
      <c r="CPZ5" s="19"/>
      <c r="CQA5" s="19"/>
      <c r="CQB5" s="19"/>
      <c r="CQC5" s="19"/>
      <c r="CQD5" s="19"/>
      <c r="CQE5" s="19"/>
      <c r="CQF5" s="19"/>
      <c r="CQG5" s="19"/>
      <c r="CQH5" s="19"/>
      <c r="CQI5" s="19"/>
      <c r="CQJ5" s="19"/>
      <c r="CQK5" s="19"/>
      <c r="CQL5" s="19"/>
      <c r="CQM5" s="19"/>
      <c r="CQN5" s="19"/>
      <c r="CQO5" s="19"/>
      <c r="CQP5" s="19"/>
      <c r="CQQ5" s="19"/>
      <c r="CQR5" s="19"/>
      <c r="CQS5" s="19"/>
      <c r="CQT5" s="19"/>
      <c r="CQU5" s="19"/>
      <c r="CQV5" s="19"/>
      <c r="CQW5" s="19"/>
      <c r="CQX5" s="19"/>
      <c r="CQY5" s="19"/>
      <c r="CQZ5" s="19"/>
      <c r="CRA5" s="19"/>
      <c r="CRB5" s="19"/>
      <c r="CRC5" s="19"/>
      <c r="CRD5" s="19"/>
      <c r="CRE5" s="19"/>
      <c r="CRF5" s="19"/>
      <c r="CRG5" s="19"/>
      <c r="CRH5" s="19"/>
      <c r="CRI5" s="19"/>
      <c r="CRJ5" s="19"/>
      <c r="CRK5" s="19"/>
      <c r="CRL5" s="19"/>
      <c r="CRM5" s="19"/>
      <c r="CRN5" s="19"/>
      <c r="CRO5" s="19"/>
      <c r="CRP5" s="19"/>
      <c r="CRQ5" s="19"/>
      <c r="CRR5" s="19"/>
      <c r="CRS5" s="19"/>
      <c r="CRT5" s="19"/>
      <c r="CRU5" s="19"/>
      <c r="CRV5" s="19"/>
      <c r="CRW5" s="19"/>
      <c r="CRX5" s="19"/>
      <c r="CRY5" s="19"/>
      <c r="CRZ5" s="19"/>
      <c r="CSA5" s="19"/>
      <c r="CSB5" s="19"/>
      <c r="CSC5" s="19"/>
      <c r="CSD5" s="19"/>
      <c r="CSE5" s="19"/>
      <c r="CSF5" s="19"/>
      <c r="CSG5" s="19"/>
      <c r="CSH5" s="19"/>
      <c r="CSI5" s="19"/>
      <c r="CSJ5" s="19"/>
      <c r="CSK5" s="19"/>
      <c r="CSL5" s="19"/>
      <c r="CSM5" s="19"/>
      <c r="CSN5" s="19"/>
      <c r="CSO5" s="19"/>
      <c r="CSP5" s="19"/>
      <c r="CSQ5" s="19"/>
      <c r="CSR5" s="19"/>
      <c r="CSS5" s="19"/>
      <c r="CST5" s="19"/>
      <c r="CSU5" s="19"/>
      <c r="CSV5" s="19"/>
      <c r="CSW5" s="19"/>
      <c r="CSX5" s="19"/>
      <c r="CSY5" s="19"/>
      <c r="CSZ5" s="19"/>
      <c r="CTA5" s="19"/>
      <c r="CTB5" s="19"/>
      <c r="CTC5" s="19"/>
      <c r="CTD5" s="19"/>
      <c r="CTE5" s="19"/>
      <c r="CTF5" s="19"/>
      <c r="CTG5" s="19"/>
      <c r="CTH5" s="19"/>
      <c r="CTI5" s="19"/>
      <c r="CTJ5" s="19"/>
      <c r="CTK5" s="19"/>
      <c r="CTL5" s="19"/>
      <c r="CTM5" s="19"/>
      <c r="CTN5" s="19"/>
      <c r="CTO5" s="19"/>
      <c r="CTP5" s="19"/>
      <c r="CTQ5" s="19"/>
      <c r="CTR5" s="19"/>
      <c r="CTS5" s="19"/>
      <c r="CTT5" s="19"/>
      <c r="CTU5" s="19"/>
      <c r="CTV5" s="19"/>
      <c r="CTW5" s="19"/>
      <c r="CTX5" s="19"/>
      <c r="CTY5" s="19"/>
      <c r="CTZ5" s="19"/>
      <c r="CUA5" s="19"/>
      <c r="CUB5" s="19"/>
      <c r="CUC5" s="19"/>
      <c r="CUD5" s="19"/>
      <c r="CUE5" s="19"/>
      <c r="CUF5" s="19"/>
      <c r="CUG5" s="19"/>
      <c r="CUH5" s="19"/>
      <c r="CUI5" s="19"/>
      <c r="CUJ5" s="19"/>
      <c r="CUK5" s="19"/>
      <c r="CUL5" s="19"/>
      <c r="CUM5" s="19"/>
      <c r="CUN5" s="19"/>
      <c r="CUO5" s="19"/>
      <c r="CUP5" s="19"/>
      <c r="CUQ5" s="19"/>
      <c r="CUR5" s="19"/>
      <c r="CUS5" s="19"/>
      <c r="CUT5" s="19"/>
      <c r="CUU5" s="19"/>
      <c r="CUV5" s="19"/>
      <c r="CUW5" s="19"/>
      <c r="CUX5" s="19"/>
      <c r="CUY5" s="19"/>
      <c r="CUZ5" s="19"/>
      <c r="CVA5" s="19"/>
      <c r="CVB5" s="19"/>
      <c r="CVC5" s="19"/>
      <c r="CVD5" s="19"/>
      <c r="CVE5" s="19"/>
      <c r="CVF5" s="19"/>
      <c r="CVG5" s="19"/>
      <c r="CVH5" s="19"/>
      <c r="CVI5" s="19"/>
      <c r="CVJ5" s="19"/>
      <c r="CVK5" s="19"/>
      <c r="CVL5" s="19"/>
      <c r="CVM5" s="19"/>
      <c r="CVN5" s="19"/>
      <c r="CVO5" s="19"/>
      <c r="CVP5" s="19"/>
      <c r="CVQ5" s="19"/>
      <c r="CVR5" s="19"/>
      <c r="CVS5" s="19"/>
      <c r="CVT5" s="19"/>
      <c r="CVU5" s="19"/>
      <c r="CVV5" s="19"/>
      <c r="CVW5" s="19"/>
      <c r="CVX5" s="19"/>
      <c r="CVY5" s="19"/>
      <c r="CVZ5" s="19"/>
      <c r="CWA5" s="19"/>
      <c r="CWB5" s="19"/>
      <c r="CWC5" s="19"/>
      <c r="CWD5" s="19"/>
      <c r="CWE5" s="19"/>
      <c r="CWF5" s="19"/>
      <c r="CWG5" s="19"/>
      <c r="CWH5" s="19"/>
      <c r="CWI5" s="19"/>
      <c r="CWJ5" s="19"/>
      <c r="CWK5" s="19"/>
      <c r="CWL5" s="19"/>
      <c r="CWM5" s="19"/>
      <c r="CWN5" s="19"/>
      <c r="CWO5" s="19"/>
      <c r="CWP5" s="19"/>
      <c r="CWQ5" s="19"/>
      <c r="CWR5" s="19"/>
      <c r="CWS5" s="19"/>
      <c r="CWT5" s="19"/>
      <c r="CWU5" s="19"/>
      <c r="CWV5" s="19"/>
      <c r="CWW5" s="19"/>
      <c r="CWX5" s="19"/>
      <c r="CWY5" s="19"/>
      <c r="CWZ5" s="19"/>
      <c r="CXA5" s="19"/>
      <c r="CXB5" s="19"/>
      <c r="CXC5" s="19"/>
      <c r="CXD5" s="19"/>
      <c r="CXE5" s="19"/>
      <c r="CXF5" s="19"/>
      <c r="CXG5" s="19"/>
      <c r="CXH5" s="19"/>
      <c r="CXI5" s="19"/>
      <c r="CXJ5" s="19"/>
      <c r="CXK5" s="19"/>
      <c r="CXL5" s="19"/>
      <c r="CXM5" s="19"/>
      <c r="CXN5" s="19"/>
      <c r="CXO5" s="19"/>
      <c r="CXP5" s="19"/>
      <c r="CXQ5" s="19"/>
      <c r="CXR5" s="19"/>
      <c r="CXS5" s="19"/>
      <c r="CXT5" s="19"/>
      <c r="CXU5" s="19"/>
      <c r="CXV5" s="19"/>
      <c r="CXW5" s="19"/>
      <c r="CXX5" s="19"/>
      <c r="CXY5" s="19"/>
      <c r="CXZ5" s="19"/>
      <c r="CYA5" s="19"/>
      <c r="CYB5" s="19"/>
      <c r="CYC5" s="19"/>
      <c r="CYD5" s="19"/>
      <c r="CYE5" s="19"/>
      <c r="CYF5" s="19"/>
      <c r="CYG5" s="19"/>
      <c r="CYH5" s="19"/>
      <c r="CYI5" s="19"/>
      <c r="CYJ5" s="19"/>
      <c r="CYK5" s="19"/>
      <c r="CYL5" s="19"/>
      <c r="CYM5" s="19"/>
      <c r="CYN5" s="19"/>
      <c r="CYO5" s="19"/>
      <c r="CYP5" s="19"/>
      <c r="CYQ5" s="19"/>
      <c r="CYR5" s="19"/>
      <c r="CYS5" s="19"/>
      <c r="CYT5" s="19"/>
      <c r="CYU5" s="19"/>
      <c r="CYV5" s="19"/>
      <c r="CYW5" s="19"/>
      <c r="CYX5" s="19"/>
      <c r="CYY5" s="19"/>
      <c r="CYZ5" s="19"/>
      <c r="CZA5" s="19"/>
      <c r="CZB5" s="19"/>
      <c r="CZC5" s="19"/>
      <c r="CZD5" s="19"/>
      <c r="CZE5" s="19"/>
      <c r="CZF5" s="19"/>
      <c r="CZG5" s="19"/>
      <c r="CZH5" s="19"/>
      <c r="CZI5" s="19"/>
      <c r="CZJ5" s="19"/>
      <c r="CZK5" s="19"/>
      <c r="CZL5" s="19"/>
      <c r="CZM5" s="19"/>
      <c r="CZN5" s="19"/>
      <c r="CZO5" s="19"/>
      <c r="CZP5" s="19"/>
      <c r="CZQ5" s="19"/>
      <c r="CZR5" s="19"/>
      <c r="CZS5" s="19"/>
      <c r="CZT5" s="19"/>
      <c r="CZU5" s="19"/>
      <c r="CZV5" s="19"/>
      <c r="CZW5" s="19"/>
      <c r="CZX5" s="19"/>
      <c r="CZY5" s="19"/>
      <c r="CZZ5" s="19"/>
      <c r="DAA5" s="19"/>
      <c r="DAB5" s="19"/>
      <c r="DAC5" s="19"/>
      <c r="DAD5" s="19"/>
      <c r="DAE5" s="19"/>
      <c r="DAF5" s="19"/>
      <c r="DAG5" s="19"/>
      <c r="DAH5" s="19"/>
      <c r="DAI5" s="19"/>
      <c r="DAJ5" s="19"/>
      <c r="DAK5" s="19"/>
      <c r="DAL5" s="19"/>
      <c r="DAM5" s="19"/>
      <c r="DAN5" s="19"/>
      <c r="DAO5" s="19"/>
      <c r="DAP5" s="19"/>
      <c r="DAQ5" s="19"/>
      <c r="DAR5" s="19"/>
      <c r="DAS5" s="19"/>
      <c r="DAT5" s="19"/>
      <c r="DAU5" s="19"/>
      <c r="DAV5" s="19"/>
      <c r="DAW5" s="19"/>
      <c r="DAX5" s="19"/>
      <c r="DAY5" s="19"/>
      <c r="DAZ5" s="19"/>
      <c r="DBA5" s="19"/>
      <c r="DBB5" s="19"/>
      <c r="DBC5" s="19"/>
      <c r="DBD5" s="19"/>
      <c r="DBE5" s="19"/>
      <c r="DBF5" s="19"/>
      <c r="DBG5" s="19"/>
      <c r="DBH5" s="19"/>
      <c r="DBI5" s="19"/>
      <c r="DBJ5" s="19"/>
      <c r="DBK5" s="19"/>
      <c r="DBL5" s="19"/>
      <c r="DBM5" s="19"/>
      <c r="DBN5" s="19"/>
      <c r="DBO5" s="19"/>
      <c r="DBP5" s="19"/>
      <c r="DBQ5" s="19"/>
      <c r="DBR5" s="19"/>
      <c r="DBS5" s="19"/>
      <c r="DBT5" s="19"/>
      <c r="DBU5" s="19"/>
      <c r="DBV5" s="19"/>
      <c r="DBW5" s="19"/>
      <c r="DBX5" s="19"/>
      <c r="DBY5" s="19"/>
      <c r="DBZ5" s="19"/>
      <c r="DCA5" s="19"/>
      <c r="DCB5" s="19"/>
      <c r="DCC5" s="19"/>
      <c r="DCD5" s="19"/>
      <c r="DCE5" s="19"/>
      <c r="DCF5" s="19"/>
      <c r="DCG5" s="19"/>
      <c r="DCH5" s="19"/>
      <c r="DCI5" s="19"/>
      <c r="DCJ5" s="19"/>
      <c r="DCK5" s="19"/>
      <c r="DCL5" s="19"/>
      <c r="DCM5" s="19"/>
      <c r="DCN5" s="19"/>
      <c r="DCO5" s="19"/>
      <c r="DCP5" s="19"/>
      <c r="DCQ5" s="19"/>
      <c r="DCR5" s="19"/>
      <c r="DCS5" s="19"/>
      <c r="DCT5" s="19"/>
      <c r="DCU5" s="19"/>
      <c r="DCV5" s="19"/>
      <c r="DCW5" s="19"/>
      <c r="DCX5" s="19"/>
      <c r="DCY5" s="19"/>
      <c r="DCZ5" s="19"/>
      <c r="DDA5" s="19"/>
      <c r="DDB5" s="19"/>
      <c r="DDC5" s="19"/>
      <c r="DDD5" s="19"/>
      <c r="DDE5" s="19"/>
      <c r="DDF5" s="19"/>
      <c r="DDG5" s="19"/>
      <c r="DDH5" s="19"/>
      <c r="DDI5" s="19"/>
      <c r="DDJ5" s="19"/>
      <c r="DDK5" s="19"/>
      <c r="DDL5" s="19"/>
      <c r="DDM5" s="19"/>
      <c r="DDN5" s="19"/>
      <c r="DDO5" s="19"/>
      <c r="DDP5" s="19"/>
      <c r="DDQ5" s="19"/>
      <c r="DDR5" s="19"/>
      <c r="DDS5" s="19"/>
      <c r="DDT5" s="19"/>
      <c r="DDU5" s="19"/>
      <c r="DDV5" s="19"/>
      <c r="DDW5" s="19"/>
      <c r="DDX5" s="19"/>
      <c r="DDY5" s="19"/>
      <c r="DDZ5" s="19"/>
      <c r="DEA5" s="19"/>
      <c r="DEB5" s="19"/>
      <c r="DEC5" s="19"/>
      <c r="DED5" s="19"/>
      <c r="DEE5" s="19"/>
      <c r="DEF5" s="19"/>
      <c r="DEG5" s="19"/>
      <c r="DEH5" s="19"/>
      <c r="DEI5" s="19"/>
      <c r="DEJ5" s="19"/>
      <c r="DEK5" s="19"/>
      <c r="DEL5" s="19"/>
      <c r="DEM5" s="19"/>
      <c r="DEN5" s="19"/>
      <c r="DEO5" s="19"/>
      <c r="DEP5" s="19"/>
      <c r="DEQ5" s="19"/>
      <c r="DER5" s="19"/>
      <c r="DES5" s="19"/>
      <c r="DET5" s="19"/>
      <c r="DEU5" s="19"/>
      <c r="DEV5" s="19"/>
      <c r="DEW5" s="19"/>
      <c r="DEX5" s="19"/>
      <c r="DEY5" s="19"/>
      <c r="DEZ5" s="19"/>
      <c r="DFA5" s="19"/>
      <c r="DFB5" s="19"/>
      <c r="DFC5" s="19"/>
      <c r="DFD5" s="19"/>
      <c r="DFE5" s="19"/>
      <c r="DFF5" s="19"/>
      <c r="DFG5" s="19"/>
      <c r="DFH5" s="19"/>
      <c r="DFI5" s="19"/>
      <c r="DFJ5" s="19"/>
      <c r="DFK5" s="19"/>
      <c r="DFL5" s="19"/>
      <c r="DFM5" s="19"/>
      <c r="DFN5" s="19"/>
      <c r="DFO5" s="19"/>
      <c r="DFP5" s="19"/>
      <c r="DFQ5" s="19"/>
      <c r="DFR5" s="19"/>
      <c r="DFS5" s="19"/>
      <c r="DFT5" s="19"/>
      <c r="DFU5" s="19"/>
      <c r="DFV5" s="19"/>
      <c r="DFW5" s="19"/>
      <c r="DFX5" s="19"/>
      <c r="DFY5" s="19"/>
      <c r="DFZ5" s="19"/>
      <c r="DGA5" s="19"/>
      <c r="DGB5" s="19"/>
      <c r="DGC5" s="19"/>
      <c r="DGD5" s="19"/>
      <c r="DGE5" s="19"/>
      <c r="DGF5" s="19"/>
      <c r="DGG5" s="19"/>
      <c r="DGH5" s="19"/>
      <c r="DGI5" s="19"/>
      <c r="DGJ5" s="19"/>
      <c r="DGK5" s="19"/>
      <c r="DGL5" s="19"/>
      <c r="DGM5" s="19"/>
      <c r="DGN5" s="19"/>
      <c r="DGO5" s="19"/>
      <c r="DGP5" s="19"/>
      <c r="DGQ5" s="19"/>
      <c r="DGR5" s="19"/>
      <c r="DGS5" s="19"/>
      <c r="DGT5" s="19"/>
      <c r="DGU5" s="19"/>
      <c r="DGV5" s="19"/>
      <c r="DGW5" s="19"/>
      <c r="DGX5" s="19"/>
      <c r="DGY5" s="19"/>
      <c r="DGZ5" s="19"/>
      <c r="DHA5" s="19"/>
      <c r="DHB5" s="19"/>
      <c r="DHC5" s="19"/>
      <c r="DHD5" s="19"/>
      <c r="DHE5" s="19"/>
      <c r="DHF5" s="19"/>
      <c r="DHG5" s="19"/>
      <c r="DHH5" s="19"/>
      <c r="DHI5" s="19"/>
      <c r="DHJ5" s="19"/>
      <c r="DHK5" s="19"/>
      <c r="DHL5" s="19"/>
      <c r="DHM5" s="19"/>
      <c r="DHN5" s="19"/>
      <c r="DHO5" s="19"/>
      <c r="DHP5" s="19"/>
      <c r="DHQ5" s="19"/>
      <c r="DHR5" s="19"/>
      <c r="DHS5" s="19"/>
      <c r="DHT5" s="19"/>
      <c r="DHU5" s="19"/>
      <c r="DHV5" s="19"/>
      <c r="DHW5" s="19"/>
      <c r="DHX5" s="19"/>
      <c r="DHY5" s="19"/>
      <c r="DHZ5" s="19"/>
      <c r="DIA5" s="19"/>
      <c r="DIB5" s="19"/>
      <c r="DIC5" s="19"/>
      <c r="DID5" s="19"/>
      <c r="DIE5" s="19"/>
      <c r="DIF5" s="19"/>
      <c r="DIG5" s="19"/>
      <c r="DIH5" s="19"/>
      <c r="DII5" s="19"/>
      <c r="DIJ5" s="19"/>
      <c r="DIK5" s="19"/>
      <c r="DIL5" s="19"/>
      <c r="DIM5" s="19"/>
      <c r="DIN5" s="19"/>
      <c r="DIO5" s="19"/>
      <c r="DIP5" s="19"/>
      <c r="DIQ5" s="19"/>
      <c r="DIR5" s="19"/>
      <c r="DIS5" s="19"/>
      <c r="DIT5" s="19"/>
      <c r="DIU5" s="19"/>
      <c r="DIV5" s="19"/>
      <c r="DIW5" s="19"/>
      <c r="DIX5" s="19"/>
      <c r="DIY5" s="19"/>
      <c r="DIZ5" s="19"/>
      <c r="DJA5" s="19"/>
      <c r="DJB5" s="19"/>
      <c r="DJC5" s="19"/>
      <c r="DJD5" s="19"/>
      <c r="DJE5" s="19"/>
      <c r="DJF5" s="19"/>
      <c r="DJG5" s="19"/>
      <c r="DJH5" s="19"/>
      <c r="DJI5" s="19"/>
      <c r="DJJ5" s="19"/>
      <c r="DJK5" s="19"/>
      <c r="DJL5" s="19"/>
      <c r="DJM5" s="19"/>
      <c r="DJN5" s="19"/>
      <c r="DJO5" s="19"/>
      <c r="DJP5" s="19"/>
      <c r="DJQ5" s="19"/>
      <c r="DJR5" s="19"/>
      <c r="DJS5" s="19"/>
      <c r="DJT5" s="19"/>
      <c r="DJU5" s="19"/>
      <c r="DJV5" s="19"/>
      <c r="DJW5" s="19"/>
      <c r="DJX5" s="19"/>
      <c r="DJY5" s="19"/>
      <c r="DJZ5" s="19"/>
      <c r="DKA5" s="19"/>
      <c r="DKB5" s="19"/>
      <c r="DKC5" s="19"/>
      <c r="DKD5" s="19"/>
      <c r="DKE5" s="19"/>
      <c r="DKF5" s="19"/>
      <c r="DKG5" s="19"/>
      <c r="DKH5" s="19"/>
      <c r="DKI5" s="19"/>
      <c r="DKJ5" s="19"/>
      <c r="DKK5" s="19"/>
      <c r="DKL5" s="19"/>
      <c r="DKM5" s="19"/>
      <c r="DKN5" s="19"/>
      <c r="DKO5" s="19"/>
      <c r="DKP5" s="19"/>
      <c r="DKQ5" s="19"/>
      <c r="DKR5" s="19"/>
      <c r="DKS5" s="19"/>
      <c r="DKT5" s="19"/>
      <c r="DKU5" s="19"/>
      <c r="DKV5" s="19"/>
      <c r="DKW5" s="19"/>
      <c r="DKX5" s="19"/>
      <c r="DKY5" s="19"/>
      <c r="DKZ5" s="19"/>
      <c r="DLA5" s="19"/>
      <c r="DLB5" s="19"/>
      <c r="DLC5" s="19"/>
      <c r="DLD5" s="19"/>
      <c r="DLE5" s="19"/>
      <c r="DLF5" s="19"/>
      <c r="DLG5" s="19"/>
      <c r="DLH5" s="19"/>
      <c r="DLI5" s="19"/>
      <c r="DLJ5" s="19"/>
      <c r="DLK5" s="19"/>
      <c r="DLL5" s="19"/>
      <c r="DLM5" s="19"/>
      <c r="DLN5" s="19"/>
      <c r="DLO5" s="19"/>
      <c r="DLP5" s="19"/>
      <c r="DLQ5" s="19"/>
      <c r="DLR5" s="19"/>
      <c r="DLS5" s="19"/>
      <c r="DLT5" s="19"/>
      <c r="DLU5" s="19"/>
      <c r="DLV5" s="19"/>
      <c r="DLW5" s="19"/>
      <c r="DLX5" s="19"/>
      <c r="DLY5" s="19"/>
      <c r="DLZ5" s="19"/>
      <c r="DMA5" s="19"/>
      <c r="DMB5" s="19"/>
      <c r="DMC5" s="19"/>
      <c r="DMD5" s="19"/>
      <c r="DME5" s="19"/>
      <c r="DMF5" s="19"/>
      <c r="DMG5" s="19"/>
      <c r="DMH5" s="19"/>
      <c r="DMI5" s="19"/>
      <c r="DMJ5" s="19"/>
      <c r="DMK5" s="19"/>
      <c r="DML5" s="19"/>
      <c r="DMM5" s="19"/>
      <c r="DMN5" s="19"/>
      <c r="DMO5" s="19"/>
      <c r="DMP5" s="19"/>
      <c r="DMQ5" s="19"/>
      <c r="DMR5" s="19"/>
      <c r="DMS5" s="19"/>
      <c r="DMT5" s="19"/>
      <c r="DMU5" s="19"/>
      <c r="DMV5" s="19"/>
      <c r="DMW5" s="19"/>
      <c r="DMX5" s="19"/>
      <c r="DMY5" s="19"/>
      <c r="DMZ5" s="19"/>
      <c r="DNA5" s="19"/>
      <c r="DNB5" s="19"/>
      <c r="DNC5" s="19"/>
      <c r="DND5" s="19"/>
      <c r="DNE5" s="19"/>
      <c r="DNF5" s="19"/>
      <c r="DNG5" s="19"/>
      <c r="DNH5" s="19"/>
      <c r="DNI5" s="19"/>
      <c r="DNJ5" s="19"/>
      <c r="DNK5" s="19"/>
      <c r="DNL5" s="19"/>
      <c r="DNM5" s="19"/>
      <c r="DNN5" s="19"/>
      <c r="DNO5" s="19"/>
      <c r="DNP5" s="19"/>
      <c r="DNQ5" s="19"/>
      <c r="DNR5" s="19"/>
      <c r="DNS5" s="19"/>
      <c r="DNT5" s="19"/>
      <c r="DNU5" s="19"/>
      <c r="DNV5" s="19"/>
      <c r="DNW5" s="19"/>
      <c r="DNX5" s="19"/>
      <c r="DNY5" s="19"/>
      <c r="DNZ5" s="19"/>
      <c r="DOA5" s="19"/>
      <c r="DOB5" s="19"/>
      <c r="DOC5" s="19"/>
      <c r="DOD5" s="19"/>
      <c r="DOE5" s="19"/>
      <c r="DOF5" s="19"/>
      <c r="DOG5" s="19"/>
      <c r="DOH5" s="19"/>
      <c r="DOI5" s="19"/>
      <c r="DOJ5" s="19"/>
      <c r="DOK5" s="19"/>
      <c r="DOL5" s="19"/>
      <c r="DOM5" s="19"/>
      <c r="DON5" s="19"/>
      <c r="DOO5" s="19"/>
      <c r="DOP5" s="19"/>
      <c r="DOQ5" s="19"/>
      <c r="DOR5" s="19"/>
      <c r="DOS5" s="19"/>
      <c r="DOT5" s="19"/>
      <c r="DOU5" s="19"/>
      <c r="DOV5" s="19"/>
      <c r="DOW5" s="19"/>
      <c r="DOX5" s="19"/>
      <c r="DOY5" s="19"/>
      <c r="DOZ5" s="19"/>
      <c r="DPA5" s="19"/>
      <c r="DPB5" s="19"/>
      <c r="DPC5" s="19"/>
      <c r="DPD5" s="19"/>
      <c r="DPE5" s="19"/>
      <c r="DPF5" s="19"/>
      <c r="DPG5" s="19"/>
      <c r="DPH5" s="19"/>
      <c r="DPI5" s="19"/>
      <c r="DPJ5" s="19"/>
      <c r="DPK5" s="19"/>
      <c r="DPL5" s="19"/>
      <c r="DPM5" s="19"/>
      <c r="DPN5" s="19"/>
      <c r="DPO5" s="19"/>
      <c r="DPP5" s="19"/>
      <c r="DPQ5" s="19"/>
      <c r="DPR5" s="19"/>
      <c r="DPS5" s="19"/>
      <c r="DPT5" s="19"/>
      <c r="DPU5" s="19"/>
      <c r="DPV5" s="19"/>
      <c r="DPW5" s="19"/>
      <c r="DPX5" s="19"/>
      <c r="DPY5" s="19"/>
      <c r="DPZ5" s="19"/>
      <c r="DQA5" s="19"/>
      <c r="DQB5" s="19"/>
      <c r="DQC5" s="19"/>
      <c r="DQD5" s="19"/>
      <c r="DQE5" s="19"/>
      <c r="DQF5" s="19"/>
      <c r="DQG5" s="19"/>
      <c r="DQH5" s="19"/>
      <c r="DQI5" s="19"/>
      <c r="DQJ5" s="19"/>
      <c r="DQK5" s="19"/>
      <c r="DQL5" s="19"/>
      <c r="DQM5" s="19"/>
      <c r="DQN5" s="19"/>
      <c r="DQO5" s="19"/>
      <c r="DQP5" s="19"/>
      <c r="DQQ5" s="19"/>
      <c r="DQR5" s="19"/>
      <c r="DQS5" s="19"/>
      <c r="DQT5" s="19"/>
      <c r="DQU5" s="19"/>
      <c r="DQV5" s="19"/>
      <c r="DQW5" s="19"/>
      <c r="DQX5" s="19"/>
      <c r="DQY5" s="19"/>
      <c r="DQZ5" s="19"/>
      <c r="DRA5" s="19"/>
      <c r="DRB5" s="19"/>
      <c r="DRC5" s="19"/>
      <c r="DRD5" s="19"/>
      <c r="DRE5" s="19"/>
      <c r="DRF5" s="19"/>
      <c r="DRG5" s="19"/>
      <c r="DRH5" s="19"/>
      <c r="DRI5" s="19"/>
      <c r="DRJ5" s="19"/>
      <c r="DRK5" s="19"/>
      <c r="DRL5" s="19"/>
      <c r="DRM5" s="19"/>
      <c r="DRN5" s="19"/>
      <c r="DRO5" s="19"/>
      <c r="DRP5" s="19"/>
      <c r="DRQ5" s="19"/>
      <c r="DRR5" s="19"/>
      <c r="DRS5" s="19"/>
      <c r="DRT5" s="19"/>
      <c r="DRU5" s="19"/>
      <c r="DRV5" s="19"/>
      <c r="DRW5" s="19"/>
      <c r="DRX5" s="19"/>
      <c r="DRY5" s="19"/>
      <c r="DRZ5" s="19"/>
      <c r="DSA5" s="19"/>
      <c r="DSB5" s="19"/>
      <c r="DSC5" s="19"/>
      <c r="DSD5" s="19"/>
      <c r="DSE5" s="19"/>
      <c r="DSF5" s="19"/>
      <c r="DSG5" s="19"/>
      <c r="DSH5" s="19"/>
      <c r="DSI5" s="19"/>
      <c r="DSJ5" s="19"/>
      <c r="DSK5" s="19"/>
      <c r="DSL5" s="19"/>
      <c r="DSM5" s="19"/>
      <c r="DSN5" s="19"/>
      <c r="DSO5" s="19"/>
      <c r="DSP5" s="19"/>
      <c r="DSQ5" s="19"/>
      <c r="DSR5" s="19"/>
      <c r="DSS5" s="19"/>
      <c r="DST5" s="19"/>
      <c r="DSU5" s="19"/>
      <c r="DSV5" s="19"/>
      <c r="DSW5" s="19"/>
      <c r="DSX5" s="19"/>
      <c r="DSY5" s="19"/>
      <c r="DSZ5" s="19"/>
      <c r="DTA5" s="19"/>
      <c r="DTB5" s="19"/>
      <c r="DTC5" s="19"/>
      <c r="DTD5" s="19"/>
      <c r="DTE5" s="19"/>
      <c r="DTF5" s="19"/>
      <c r="DTG5" s="19"/>
      <c r="DTH5" s="19"/>
      <c r="DTI5" s="19"/>
      <c r="DTJ5" s="19"/>
      <c r="DTK5" s="19"/>
      <c r="DTL5" s="19"/>
      <c r="DTM5" s="19"/>
      <c r="DTN5" s="19"/>
      <c r="DTO5" s="19"/>
      <c r="DTP5" s="19"/>
      <c r="DTQ5" s="19"/>
      <c r="DTR5" s="19"/>
      <c r="DTS5" s="19"/>
      <c r="DTT5" s="19"/>
      <c r="DTU5" s="19"/>
      <c r="DTV5" s="19"/>
      <c r="DTW5" s="19"/>
      <c r="DTX5" s="19"/>
      <c r="DTY5" s="19"/>
      <c r="DTZ5" s="19"/>
      <c r="DUA5" s="19"/>
      <c r="DUB5" s="19"/>
      <c r="DUC5" s="19"/>
      <c r="DUD5" s="19"/>
      <c r="DUE5" s="19"/>
      <c r="DUF5" s="19"/>
      <c r="DUG5" s="19"/>
      <c r="DUH5" s="19"/>
      <c r="DUI5" s="19"/>
      <c r="DUJ5" s="19"/>
      <c r="DUK5" s="19"/>
      <c r="DUL5" s="19"/>
      <c r="DUM5" s="19"/>
      <c r="DUN5" s="19"/>
      <c r="DUO5" s="19"/>
      <c r="DUP5" s="19"/>
      <c r="DUQ5" s="19"/>
      <c r="DUR5" s="19"/>
      <c r="DUS5" s="19"/>
      <c r="DUT5" s="19"/>
      <c r="DUU5" s="19"/>
      <c r="DUV5" s="19"/>
      <c r="DUW5" s="19"/>
      <c r="DUX5" s="19"/>
      <c r="DUY5" s="19"/>
      <c r="DUZ5" s="19"/>
      <c r="DVA5" s="19"/>
      <c r="DVB5" s="19"/>
      <c r="DVC5" s="19"/>
      <c r="DVD5" s="19"/>
      <c r="DVE5" s="19"/>
      <c r="DVF5" s="19"/>
      <c r="DVG5" s="19"/>
      <c r="DVH5" s="19"/>
      <c r="DVI5" s="19"/>
      <c r="DVJ5" s="19"/>
      <c r="DVK5" s="19"/>
      <c r="DVL5" s="19"/>
      <c r="DVM5" s="19"/>
      <c r="DVN5" s="19"/>
      <c r="DVO5" s="19"/>
      <c r="DVP5" s="19"/>
      <c r="DVQ5" s="19"/>
      <c r="DVR5" s="19"/>
      <c r="DVS5" s="19"/>
      <c r="DVT5" s="19"/>
      <c r="DVU5" s="19"/>
      <c r="DVV5" s="19"/>
      <c r="DVW5" s="19"/>
      <c r="DVX5" s="19"/>
      <c r="DVY5" s="19"/>
      <c r="DVZ5" s="19"/>
      <c r="DWA5" s="19"/>
      <c r="DWB5" s="19"/>
      <c r="DWC5" s="19"/>
      <c r="DWD5" s="19"/>
      <c r="DWE5" s="19"/>
      <c r="DWF5" s="19"/>
      <c r="DWG5" s="19"/>
      <c r="DWH5" s="19"/>
      <c r="DWI5" s="19"/>
      <c r="DWJ5" s="19"/>
      <c r="DWK5" s="19"/>
      <c r="DWL5" s="19"/>
      <c r="DWM5" s="19"/>
      <c r="DWN5" s="19"/>
      <c r="DWO5" s="19"/>
      <c r="DWP5" s="19"/>
      <c r="DWQ5" s="19"/>
      <c r="DWR5" s="19"/>
      <c r="DWS5" s="19"/>
      <c r="DWT5" s="19"/>
      <c r="DWU5" s="19"/>
      <c r="DWV5" s="19"/>
      <c r="DWW5" s="19"/>
      <c r="DWX5" s="19"/>
      <c r="DWY5" s="19"/>
      <c r="DWZ5" s="19"/>
      <c r="DXA5" s="19"/>
      <c r="DXB5" s="19"/>
      <c r="DXC5" s="19"/>
      <c r="DXD5" s="19"/>
      <c r="DXE5" s="19"/>
      <c r="DXF5" s="19"/>
      <c r="DXG5" s="19"/>
      <c r="DXH5" s="19"/>
      <c r="DXI5" s="19"/>
      <c r="DXJ5" s="19"/>
      <c r="DXK5" s="19"/>
      <c r="DXL5" s="19"/>
      <c r="DXM5" s="19"/>
      <c r="DXN5" s="19"/>
      <c r="DXO5" s="19"/>
      <c r="DXP5" s="19"/>
      <c r="DXQ5" s="19"/>
      <c r="DXR5" s="19"/>
      <c r="DXS5" s="19"/>
      <c r="DXT5" s="19"/>
      <c r="DXU5" s="19"/>
      <c r="DXV5" s="19"/>
      <c r="DXW5" s="19"/>
      <c r="DXX5" s="19"/>
      <c r="DXY5" s="19"/>
      <c r="DXZ5" s="19"/>
      <c r="DYA5" s="19"/>
      <c r="DYB5" s="19"/>
      <c r="DYC5" s="19"/>
      <c r="DYD5" s="19"/>
      <c r="DYE5" s="19"/>
      <c r="DYF5" s="19"/>
      <c r="DYG5" s="19"/>
      <c r="DYH5" s="19"/>
      <c r="DYI5" s="19"/>
      <c r="DYJ5" s="19"/>
      <c r="DYK5" s="19"/>
      <c r="DYL5" s="19"/>
      <c r="DYM5" s="19"/>
      <c r="DYN5" s="19"/>
      <c r="DYO5" s="19"/>
      <c r="DYP5" s="19"/>
      <c r="DYQ5" s="19"/>
      <c r="DYR5" s="19"/>
      <c r="DYS5" s="19"/>
      <c r="DYT5" s="19"/>
      <c r="DYU5" s="19"/>
      <c r="DYV5" s="19"/>
      <c r="DYW5" s="19"/>
      <c r="DYX5" s="19"/>
      <c r="DYY5" s="19"/>
      <c r="DYZ5" s="19"/>
      <c r="DZA5" s="19"/>
      <c r="DZB5" s="19"/>
      <c r="DZC5" s="19"/>
      <c r="DZD5" s="19"/>
      <c r="DZE5" s="19"/>
      <c r="DZF5" s="19"/>
      <c r="DZG5" s="19"/>
      <c r="DZH5" s="19"/>
      <c r="DZI5" s="19"/>
      <c r="DZJ5" s="19"/>
      <c r="DZK5" s="19"/>
      <c r="DZL5" s="19"/>
      <c r="DZM5" s="19"/>
      <c r="DZN5" s="19"/>
      <c r="DZO5" s="19"/>
      <c r="DZP5" s="19"/>
      <c r="DZQ5" s="19"/>
      <c r="DZR5" s="19"/>
      <c r="DZS5" s="19"/>
      <c r="DZT5" s="19"/>
      <c r="DZU5" s="19"/>
      <c r="DZV5" s="19"/>
      <c r="DZW5" s="19"/>
      <c r="DZX5" s="19"/>
      <c r="DZY5" s="19"/>
      <c r="DZZ5" s="19"/>
      <c r="EAA5" s="19"/>
      <c r="EAB5" s="19"/>
      <c r="EAC5" s="19"/>
      <c r="EAD5" s="19"/>
      <c r="EAE5" s="19"/>
      <c r="EAF5" s="19"/>
      <c r="EAG5" s="19"/>
      <c r="EAH5" s="19"/>
      <c r="EAI5" s="19"/>
      <c r="EAJ5" s="19"/>
      <c r="EAK5" s="19"/>
      <c r="EAL5" s="19"/>
      <c r="EAM5" s="19"/>
      <c r="EAN5" s="19"/>
      <c r="EAO5" s="19"/>
      <c r="EAP5" s="19"/>
      <c r="EAQ5" s="19"/>
      <c r="EAR5" s="19"/>
      <c r="EAS5" s="19"/>
      <c r="EAT5" s="19"/>
      <c r="EAU5" s="19"/>
      <c r="EAV5" s="19"/>
      <c r="EAW5" s="19"/>
      <c r="EAX5" s="19"/>
      <c r="EAY5" s="19"/>
      <c r="EAZ5" s="19"/>
      <c r="EBA5" s="19"/>
      <c r="EBB5" s="19"/>
      <c r="EBC5" s="19"/>
      <c r="EBD5" s="19"/>
      <c r="EBE5" s="19"/>
      <c r="EBF5" s="19"/>
      <c r="EBG5" s="19"/>
      <c r="EBH5" s="19"/>
      <c r="EBI5" s="19"/>
      <c r="EBJ5" s="19"/>
      <c r="EBK5" s="19"/>
      <c r="EBL5" s="19"/>
      <c r="EBM5" s="19"/>
      <c r="EBN5" s="19"/>
      <c r="EBO5" s="19"/>
      <c r="EBP5" s="19"/>
      <c r="EBQ5" s="19"/>
      <c r="EBR5" s="19"/>
      <c r="EBS5" s="19"/>
      <c r="EBT5" s="19"/>
      <c r="EBU5" s="19"/>
      <c r="EBV5" s="19"/>
      <c r="EBW5" s="19"/>
      <c r="EBX5" s="19"/>
      <c r="EBY5" s="19"/>
      <c r="EBZ5" s="19"/>
      <c r="ECA5" s="19"/>
      <c r="ECB5" s="19"/>
      <c r="ECC5" s="19"/>
      <c r="ECD5" s="19"/>
      <c r="ECE5" s="19"/>
      <c r="ECF5" s="19"/>
      <c r="ECG5" s="19"/>
      <c r="ECH5" s="19"/>
      <c r="ECI5" s="19"/>
      <c r="ECJ5" s="19"/>
      <c r="ECK5" s="19"/>
      <c r="ECL5" s="19"/>
      <c r="ECM5" s="19"/>
      <c r="ECN5" s="19"/>
      <c r="ECO5" s="19"/>
      <c r="ECP5" s="19"/>
      <c r="ECQ5" s="19"/>
      <c r="ECR5" s="19"/>
      <c r="ECS5" s="19"/>
      <c r="ECT5" s="19"/>
      <c r="ECU5" s="19"/>
      <c r="ECV5" s="19"/>
      <c r="ECW5" s="19"/>
      <c r="ECX5" s="19"/>
      <c r="ECY5" s="19"/>
      <c r="ECZ5" s="19"/>
      <c r="EDA5" s="19"/>
      <c r="EDB5" s="19"/>
      <c r="EDC5" s="19"/>
      <c r="EDD5" s="19"/>
      <c r="EDE5" s="19"/>
      <c r="EDF5" s="19"/>
      <c r="EDG5" s="19"/>
      <c r="EDH5" s="19"/>
      <c r="EDI5" s="19"/>
      <c r="EDJ5" s="19"/>
      <c r="EDK5" s="19"/>
      <c r="EDL5" s="19"/>
      <c r="EDM5" s="19"/>
      <c r="EDN5" s="19"/>
      <c r="EDO5" s="19"/>
      <c r="EDP5" s="19"/>
      <c r="EDQ5" s="19"/>
      <c r="EDR5" s="19"/>
      <c r="EDS5" s="19"/>
      <c r="EDT5" s="19"/>
      <c r="EDU5" s="19"/>
      <c r="EDV5" s="19"/>
      <c r="EDW5" s="19"/>
      <c r="EDX5" s="19"/>
      <c r="EDY5" s="19"/>
      <c r="EDZ5" s="19"/>
      <c r="EEA5" s="19"/>
      <c r="EEB5" s="19"/>
      <c r="EEC5" s="19"/>
      <c r="EED5" s="19"/>
      <c r="EEE5" s="19"/>
      <c r="EEF5" s="19"/>
      <c r="EEG5" s="19"/>
      <c r="EEH5" s="19"/>
      <c r="EEI5" s="19"/>
      <c r="EEJ5" s="19"/>
      <c r="EEK5" s="19"/>
      <c r="EEL5" s="19"/>
      <c r="EEM5" s="19"/>
      <c r="EEN5" s="19"/>
      <c r="EEO5" s="19"/>
      <c r="EEP5" s="19"/>
      <c r="EEQ5" s="19"/>
      <c r="EER5" s="19"/>
      <c r="EES5" s="19"/>
      <c r="EET5" s="19"/>
      <c r="EEU5" s="19"/>
      <c r="EEV5" s="19"/>
      <c r="EEW5" s="19"/>
      <c r="EEX5" s="19"/>
      <c r="EEY5" s="19"/>
      <c r="EEZ5" s="19"/>
      <c r="EFA5" s="19"/>
      <c r="EFB5" s="19"/>
      <c r="EFC5" s="19"/>
      <c r="EFD5" s="19"/>
      <c r="EFE5" s="19"/>
      <c r="EFF5" s="19"/>
      <c r="EFG5" s="19"/>
      <c r="EFH5" s="19"/>
      <c r="EFI5" s="19"/>
      <c r="EFJ5" s="19"/>
      <c r="EFK5" s="19"/>
      <c r="EFL5" s="19"/>
      <c r="EFM5" s="19"/>
      <c r="EFN5" s="19"/>
      <c r="EFO5" s="19"/>
      <c r="EFP5" s="19"/>
      <c r="EFQ5" s="19"/>
      <c r="EFR5" s="19"/>
      <c r="EFS5" s="19"/>
      <c r="EFT5" s="19"/>
      <c r="EFU5" s="19"/>
      <c r="EFV5" s="19"/>
      <c r="EFW5" s="19"/>
      <c r="EFX5" s="19"/>
      <c r="EFY5" s="19"/>
      <c r="EFZ5" s="19"/>
      <c r="EGA5" s="19"/>
      <c r="EGB5" s="19"/>
      <c r="EGC5" s="19"/>
      <c r="EGD5" s="19"/>
      <c r="EGE5" s="19"/>
      <c r="EGF5" s="19"/>
      <c r="EGG5" s="19"/>
      <c r="EGH5" s="19"/>
      <c r="EGI5" s="19"/>
      <c r="EGJ5" s="19"/>
      <c r="EGK5" s="19"/>
      <c r="EGL5" s="19"/>
      <c r="EGM5" s="19"/>
      <c r="EGN5" s="19"/>
      <c r="EGO5" s="19"/>
      <c r="EGP5" s="19"/>
      <c r="EGQ5" s="19"/>
      <c r="EGR5" s="19"/>
      <c r="EGS5" s="19"/>
      <c r="EGT5" s="19"/>
      <c r="EGU5" s="19"/>
      <c r="EGV5" s="19"/>
      <c r="EGW5" s="19"/>
      <c r="EGX5" s="19"/>
      <c r="EGY5" s="19"/>
      <c r="EGZ5" s="19"/>
      <c r="EHA5" s="19"/>
      <c r="EHB5" s="19"/>
      <c r="EHC5" s="19"/>
      <c r="EHD5" s="19"/>
      <c r="EHE5" s="19"/>
      <c r="EHF5" s="19"/>
      <c r="EHG5" s="19"/>
      <c r="EHH5" s="19"/>
      <c r="EHI5" s="19"/>
      <c r="EHJ5" s="19"/>
      <c r="EHK5" s="19"/>
      <c r="EHL5" s="19"/>
      <c r="EHM5" s="19"/>
      <c r="EHN5" s="19"/>
      <c r="EHO5" s="19"/>
      <c r="EHP5" s="19"/>
      <c r="EHQ5" s="19"/>
      <c r="EHR5" s="19"/>
      <c r="EHS5" s="19"/>
      <c r="EHT5" s="19"/>
      <c r="EHU5" s="19"/>
      <c r="EHV5" s="19"/>
      <c r="EHW5" s="19"/>
      <c r="EHX5" s="19"/>
      <c r="EHY5" s="19"/>
      <c r="EHZ5" s="19"/>
      <c r="EIA5" s="19"/>
      <c r="EIB5" s="19"/>
      <c r="EIC5" s="19"/>
      <c r="EID5" s="19"/>
      <c r="EIE5" s="19"/>
      <c r="EIF5" s="19"/>
      <c r="EIG5" s="19"/>
      <c r="EIH5" s="19"/>
      <c r="EII5" s="19"/>
      <c r="EIJ5" s="19"/>
      <c r="EIK5" s="19"/>
      <c r="EIL5" s="19"/>
      <c r="EIM5" s="19"/>
      <c r="EIN5" s="19"/>
      <c r="EIO5" s="19"/>
      <c r="EIP5" s="19"/>
      <c r="EIQ5" s="19"/>
      <c r="EIR5" s="19"/>
      <c r="EIS5" s="19"/>
      <c r="EIT5" s="19"/>
      <c r="EIU5" s="19"/>
      <c r="EIV5" s="19"/>
      <c r="EIW5" s="19"/>
      <c r="EIX5" s="19"/>
      <c r="EIY5" s="19"/>
      <c r="EIZ5" s="19"/>
      <c r="EJA5" s="19"/>
      <c r="EJB5" s="19"/>
      <c r="EJC5" s="19"/>
      <c r="EJD5" s="19"/>
      <c r="EJE5" s="19"/>
      <c r="EJF5" s="19"/>
      <c r="EJG5" s="19"/>
      <c r="EJH5" s="19"/>
      <c r="EJI5" s="19"/>
      <c r="EJJ5" s="19"/>
      <c r="EJK5" s="19"/>
      <c r="EJL5" s="19"/>
      <c r="EJM5" s="19"/>
      <c r="EJN5" s="19"/>
      <c r="EJO5" s="19"/>
      <c r="EJP5" s="19"/>
      <c r="EJQ5" s="19"/>
      <c r="EJR5" s="19"/>
      <c r="EJS5" s="19"/>
      <c r="EJT5" s="19"/>
      <c r="EJU5" s="19"/>
      <c r="EJV5" s="19"/>
      <c r="EJW5" s="19"/>
      <c r="EJX5" s="19"/>
      <c r="EJY5" s="19"/>
      <c r="EJZ5" s="19"/>
      <c r="EKA5" s="19"/>
      <c r="EKB5" s="19"/>
      <c r="EKC5" s="19"/>
      <c r="EKD5" s="19"/>
      <c r="EKE5" s="19"/>
      <c r="EKF5" s="19"/>
      <c r="EKG5" s="19"/>
      <c r="EKH5" s="19"/>
      <c r="EKI5" s="19"/>
      <c r="EKJ5" s="19"/>
      <c r="EKK5" s="19"/>
      <c r="EKL5" s="19"/>
      <c r="EKM5" s="19"/>
      <c r="EKN5" s="19"/>
      <c r="EKO5" s="19"/>
      <c r="EKP5" s="19"/>
      <c r="EKQ5" s="19"/>
      <c r="EKR5" s="19"/>
      <c r="EKS5" s="19"/>
      <c r="EKT5" s="19"/>
      <c r="EKU5" s="19"/>
      <c r="EKV5" s="19"/>
      <c r="EKW5" s="19"/>
      <c r="EKX5" s="19"/>
      <c r="EKY5" s="19"/>
      <c r="EKZ5" s="19"/>
      <c r="ELA5" s="19"/>
      <c r="ELB5" s="19"/>
      <c r="ELC5" s="19"/>
      <c r="ELD5" s="19"/>
      <c r="ELE5" s="19"/>
      <c r="ELF5" s="19"/>
      <c r="ELG5" s="19"/>
      <c r="ELH5" s="19"/>
      <c r="ELI5" s="19"/>
      <c r="ELJ5" s="19"/>
      <c r="ELK5" s="19"/>
      <c r="ELL5" s="19"/>
      <c r="ELM5" s="19"/>
      <c r="ELN5" s="19"/>
      <c r="ELO5" s="19"/>
      <c r="ELP5" s="19"/>
      <c r="ELQ5" s="19"/>
      <c r="ELR5" s="19"/>
      <c r="ELS5" s="19"/>
      <c r="ELT5" s="19"/>
      <c r="ELU5" s="19"/>
      <c r="ELV5" s="19"/>
      <c r="ELW5" s="19"/>
      <c r="ELX5" s="19"/>
      <c r="ELY5" s="19"/>
      <c r="ELZ5" s="19"/>
      <c r="EMA5" s="19"/>
      <c r="EMB5" s="19"/>
      <c r="EMC5" s="19"/>
      <c r="EMD5" s="19"/>
      <c r="EME5" s="19"/>
      <c r="EMF5" s="19"/>
      <c r="EMG5" s="19"/>
      <c r="EMH5" s="19"/>
      <c r="EMI5" s="19"/>
      <c r="EMJ5" s="19"/>
      <c r="EMK5" s="19"/>
      <c r="EML5" s="19"/>
      <c r="EMM5" s="19"/>
      <c r="EMN5" s="19"/>
      <c r="EMO5" s="19"/>
      <c r="EMP5" s="19"/>
      <c r="EMQ5" s="19"/>
      <c r="EMR5" s="19"/>
      <c r="EMS5" s="19"/>
      <c r="EMT5" s="19"/>
      <c r="EMU5" s="19"/>
      <c r="EMV5" s="19"/>
      <c r="EMW5" s="19"/>
      <c r="EMX5" s="19"/>
      <c r="EMY5" s="19"/>
      <c r="EMZ5" s="19"/>
      <c r="ENA5" s="19"/>
      <c r="ENB5" s="19"/>
      <c r="ENC5" s="19"/>
      <c r="END5" s="19"/>
      <c r="ENE5" s="19"/>
      <c r="ENF5" s="19"/>
      <c r="ENG5" s="19"/>
      <c r="ENH5" s="19"/>
      <c r="ENI5" s="19"/>
      <c r="ENJ5" s="19"/>
      <c r="ENK5" s="19"/>
      <c r="ENL5" s="19"/>
      <c r="ENM5" s="19"/>
      <c r="ENN5" s="19"/>
      <c r="ENO5" s="19"/>
      <c r="ENP5" s="19"/>
      <c r="ENQ5" s="19"/>
      <c r="ENR5" s="19"/>
      <c r="ENS5" s="19"/>
      <c r="ENT5" s="19"/>
      <c r="ENU5" s="19"/>
      <c r="ENV5" s="19"/>
      <c r="ENW5" s="19"/>
      <c r="ENX5" s="19"/>
      <c r="ENY5" s="19"/>
      <c r="ENZ5" s="19"/>
      <c r="EOA5" s="19"/>
      <c r="EOB5" s="19"/>
      <c r="EOC5" s="19"/>
      <c r="EOD5" s="19"/>
      <c r="EOE5" s="19"/>
      <c r="EOF5" s="19"/>
      <c r="EOG5" s="19"/>
      <c r="EOH5" s="19"/>
      <c r="EOI5" s="19"/>
      <c r="EOJ5" s="19"/>
      <c r="EOK5" s="19"/>
      <c r="EOL5" s="19"/>
      <c r="EOM5" s="19"/>
      <c r="EON5" s="19"/>
      <c r="EOO5" s="19"/>
      <c r="EOP5" s="19"/>
      <c r="EOQ5" s="19"/>
      <c r="EOR5" s="19"/>
      <c r="EOS5" s="19"/>
      <c r="EOT5" s="19"/>
      <c r="EOU5" s="19"/>
      <c r="EOV5" s="19"/>
      <c r="EOW5" s="19"/>
      <c r="EOX5" s="19"/>
      <c r="EOY5" s="19"/>
      <c r="EOZ5" s="19"/>
      <c r="EPA5" s="19"/>
      <c r="EPB5" s="19"/>
      <c r="EPC5" s="19"/>
      <c r="EPD5" s="19"/>
      <c r="EPE5" s="19"/>
      <c r="EPF5" s="19"/>
      <c r="EPG5" s="19"/>
      <c r="EPH5" s="19"/>
      <c r="EPI5" s="19"/>
      <c r="EPJ5" s="19"/>
      <c r="EPK5" s="19"/>
      <c r="EPL5" s="19"/>
      <c r="EPM5" s="19"/>
      <c r="EPN5" s="19"/>
      <c r="EPO5" s="19"/>
      <c r="EPP5" s="19"/>
      <c r="EPQ5" s="19"/>
      <c r="EPR5" s="19"/>
      <c r="EPS5" s="19"/>
      <c r="EPT5" s="19"/>
      <c r="EPU5" s="19"/>
      <c r="EPV5" s="19"/>
      <c r="EPW5" s="19"/>
      <c r="EPX5" s="19"/>
      <c r="EPY5" s="19"/>
      <c r="EPZ5" s="19"/>
      <c r="EQA5" s="19"/>
      <c r="EQB5" s="19"/>
      <c r="EQC5" s="19"/>
      <c r="EQD5" s="19"/>
      <c r="EQE5" s="19"/>
      <c r="EQF5" s="19"/>
      <c r="EQG5" s="19"/>
      <c r="EQH5" s="19"/>
      <c r="EQI5" s="19"/>
      <c r="EQJ5" s="19"/>
      <c r="EQK5" s="19"/>
      <c r="EQL5" s="19"/>
      <c r="EQM5" s="19"/>
      <c r="EQN5" s="19"/>
      <c r="EQO5" s="19"/>
      <c r="EQP5" s="19"/>
      <c r="EQQ5" s="19"/>
      <c r="EQR5" s="19"/>
      <c r="EQS5" s="19"/>
      <c r="EQT5" s="19"/>
      <c r="EQU5" s="19"/>
      <c r="EQV5" s="19"/>
      <c r="EQW5" s="19"/>
      <c r="EQX5" s="19"/>
      <c r="EQY5" s="19"/>
      <c r="EQZ5" s="19"/>
      <c r="ERA5" s="19"/>
      <c r="ERB5" s="19"/>
      <c r="ERC5" s="19"/>
      <c r="ERD5" s="19"/>
      <c r="ERE5" s="19"/>
      <c r="ERF5" s="19"/>
      <c r="ERG5" s="19"/>
      <c r="ERH5" s="19"/>
      <c r="ERI5" s="19"/>
      <c r="ERJ5" s="19"/>
      <c r="ERK5" s="19"/>
      <c r="ERL5" s="19"/>
      <c r="ERM5" s="19"/>
      <c r="ERN5" s="19"/>
      <c r="ERO5" s="19"/>
      <c r="ERP5" s="19"/>
      <c r="ERQ5" s="19"/>
      <c r="ERR5" s="19"/>
      <c r="ERS5" s="19"/>
      <c r="ERT5" s="19"/>
      <c r="ERU5" s="19"/>
      <c r="ERV5" s="19"/>
      <c r="ERW5" s="19"/>
      <c r="ERX5" s="19"/>
      <c r="ERY5" s="19"/>
      <c r="ERZ5" s="19"/>
      <c r="ESA5" s="19"/>
      <c r="ESB5" s="19"/>
      <c r="ESC5" s="19"/>
      <c r="ESD5" s="19"/>
      <c r="ESE5" s="19"/>
      <c r="ESF5" s="19"/>
      <c r="ESG5" s="19"/>
      <c r="ESH5" s="19"/>
      <c r="ESI5" s="19"/>
      <c r="ESJ5" s="19"/>
      <c r="ESK5" s="19"/>
      <c r="ESL5" s="19"/>
      <c r="ESM5" s="19"/>
      <c r="ESN5" s="19"/>
      <c r="ESO5" s="19"/>
      <c r="ESP5" s="19"/>
      <c r="ESQ5" s="19"/>
      <c r="ESR5" s="19"/>
      <c r="ESS5" s="19"/>
      <c r="EST5" s="19"/>
      <c r="ESU5" s="19"/>
      <c r="ESV5" s="19"/>
      <c r="ESW5" s="19"/>
      <c r="ESX5" s="19"/>
      <c r="ESY5" s="19"/>
      <c r="ESZ5" s="19"/>
      <c r="ETA5" s="19"/>
      <c r="ETB5" s="19"/>
      <c r="ETC5" s="19"/>
      <c r="ETD5" s="19"/>
      <c r="ETE5" s="19"/>
      <c r="ETF5" s="19"/>
      <c r="ETG5" s="19"/>
      <c r="ETH5" s="19"/>
      <c r="ETI5" s="19"/>
      <c r="ETJ5" s="19"/>
      <c r="ETK5" s="19"/>
      <c r="ETL5" s="19"/>
      <c r="ETM5" s="19"/>
      <c r="ETN5" s="19"/>
      <c r="ETO5" s="19"/>
      <c r="ETP5" s="19"/>
      <c r="ETQ5" s="19"/>
      <c r="ETR5" s="19"/>
      <c r="ETS5" s="19"/>
      <c r="ETT5" s="19"/>
      <c r="ETU5" s="19"/>
      <c r="ETV5" s="19"/>
      <c r="ETW5" s="19"/>
      <c r="ETX5" s="19"/>
      <c r="ETY5" s="19"/>
      <c r="ETZ5" s="19"/>
      <c r="EUA5" s="19"/>
      <c r="EUB5" s="19"/>
      <c r="EUC5" s="19"/>
      <c r="EUD5" s="19"/>
      <c r="EUE5" s="19"/>
      <c r="EUF5" s="19"/>
      <c r="EUG5" s="19"/>
      <c r="EUH5" s="19"/>
      <c r="EUI5" s="19"/>
      <c r="EUJ5" s="19"/>
      <c r="EUK5" s="19"/>
      <c r="EUL5" s="19"/>
      <c r="EUM5" s="19"/>
      <c r="EUN5" s="19"/>
      <c r="EUO5" s="19"/>
      <c r="EUP5" s="19"/>
      <c r="EUQ5" s="19"/>
      <c r="EUR5" s="19"/>
      <c r="EUS5" s="19"/>
      <c r="EUT5" s="19"/>
      <c r="EUU5" s="19"/>
      <c r="EUV5" s="19"/>
      <c r="EUW5" s="19"/>
      <c r="EUX5" s="19"/>
      <c r="EUY5" s="19"/>
      <c r="EUZ5" s="19"/>
      <c r="EVA5" s="19"/>
      <c r="EVB5" s="19"/>
      <c r="EVC5" s="19"/>
      <c r="EVD5" s="19"/>
      <c r="EVE5" s="19"/>
      <c r="EVF5" s="19"/>
      <c r="EVG5" s="19"/>
      <c r="EVH5" s="19"/>
      <c r="EVI5" s="19"/>
      <c r="EVJ5" s="19"/>
      <c r="EVK5" s="19"/>
      <c r="EVL5" s="19"/>
      <c r="EVM5" s="19"/>
      <c r="EVN5" s="19"/>
      <c r="EVO5" s="19"/>
      <c r="EVP5" s="19"/>
      <c r="EVQ5" s="19"/>
      <c r="EVR5" s="19"/>
      <c r="EVS5" s="19"/>
      <c r="EVT5" s="19"/>
      <c r="EVU5" s="19"/>
      <c r="EVV5" s="19"/>
      <c r="EVW5" s="19"/>
      <c r="EVX5" s="19"/>
      <c r="EVY5" s="19"/>
      <c r="EVZ5" s="19"/>
      <c r="EWA5" s="19"/>
      <c r="EWB5" s="19"/>
      <c r="EWC5" s="19"/>
      <c r="EWD5" s="19"/>
      <c r="EWE5" s="19"/>
      <c r="EWF5" s="19"/>
      <c r="EWG5" s="19"/>
      <c r="EWH5" s="19"/>
      <c r="EWI5" s="19"/>
      <c r="EWJ5" s="19"/>
      <c r="EWK5" s="19"/>
      <c r="EWL5" s="19"/>
      <c r="EWM5" s="19"/>
      <c r="EWN5" s="19"/>
      <c r="EWO5" s="19"/>
      <c r="EWP5" s="19"/>
      <c r="EWQ5" s="19"/>
      <c r="EWR5" s="19"/>
      <c r="EWS5" s="19"/>
      <c r="EWT5" s="19"/>
      <c r="EWU5" s="19"/>
      <c r="EWV5" s="19"/>
      <c r="EWW5" s="19"/>
      <c r="EWX5" s="19"/>
      <c r="EWY5" s="19"/>
      <c r="EWZ5" s="19"/>
      <c r="EXA5" s="19"/>
      <c r="EXB5" s="19"/>
      <c r="EXC5" s="19"/>
      <c r="EXD5" s="19"/>
      <c r="EXE5" s="19"/>
      <c r="EXF5" s="19"/>
      <c r="EXG5" s="19"/>
      <c r="EXH5" s="19"/>
      <c r="EXI5" s="19"/>
      <c r="EXJ5" s="19"/>
      <c r="EXK5" s="19"/>
      <c r="EXL5" s="19"/>
      <c r="EXM5" s="19"/>
      <c r="EXN5" s="19"/>
      <c r="EXO5" s="19"/>
      <c r="EXP5" s="19"/>
      <c r="EXQ5" s="19"/>
      <c r="EXR5" s="19"/>
      <c r="EXS5" s="19"/>
      <c r="EXT5" s="19"/>
      <c r="EXU5" s="19"/>
      <c r="EXV5" s="19"/>
      <c r="EXW5" s="19"/>
      <c r="EXX5" s="19"/>
      <c r="EXY5" s="19"/>
      <c r="EXZ5" s="19"/>
      <c r="EYA5" s="19"/>
      <c r="EYB5" s="19"/>
      <c r="EYC5" s="19"/>
      <c r="EYD5" s="19"/>
      <c r="EYE5" s="19"/>
      <c r="EYF5" s="19"/>
      <c r="EYG5" s="19"/>
      <c r="EYH5" s="19"/>
      <c r="EYI5" s="19"/>
      <c r="EYJ5" s="19"/>
      <c r="EYK5" s="19"/>
      <c r="EYL5" s="19"/>
      <c r="EYM5" s="19"/>
      <c r="EYN5" s="19"/>
      <c r="EYO5" s="19"/>
      <c r="EYP5" s="19"/>
      <c r="EYQ5" s="19"/>
      <c r="EYR5" s="19"/>
      <c r="EYS5" s="19"/>
      <c r="EYT5" s="19"/>
      <c r="EYU5" s="19"/>
      <c r="EYV5" s="19"/>
      <c r="EYW5" s="19"/>
      <c r="EYX5" s="19"/>
      <c r="EYY5" s="19"/>
      <c r="EYZ5" s="19"/>
      <c r="EZA5" s="19"/>
      <c r="EZB5" s="19"/>
      <c r="EZC5" s="19"/>
      <c r="EZD5" s="19"/>
      <c r="EZE5" s="19"/>
      <c r="EZF5" s="19"/>
      <c r="EZG5" s="19"/>
      <c r="EZH5" s="19"/>
      <c r="EZI5" s="19"/>
      <c r="EZJ5" s="19"/>
      <c r="EZK5" s="19"/>
      <c r="EZL5" s="19"/>
      <c r="EZM5" s="19"/>
      <c r="EZN5" s="19"/>
      <c r="EZO5" s="19"/>
      <c r="EZP5" s="19"/>
      <c r="EZQ5" s="19"/>
      <c r="EZR5" s="19"/>
      <c r="EZS5" s="19"/>
      <c r="EZT5" s="19"/>
      <c r="EZU5" s="19"/>
      <c r="EZV5" s="19"/>
      <c r="EZW5" s="19"/>
      <c r="EZX5" s="19"/>
      <c r="EZY5" s="19"/>
      <c r="EZZ5" s="19"/>
      <c r="FAA5" s="19"/>
      <c r="FAB5" s="19"/>
      <c r="FAC5" s="19"/>
      <c r="FAD5" s="19"/>
      <c r="FAE5" s="19"/>
      <c r="FAF5" s="19"/>
      <c r="FAG5" s="19"/>
      <c r="FAH5" s="19"/>
      <c r="FAI5" s="19"/>
      <c r="FAJ5" s="19"/>
      <c r="FAK5" s="19"/>
      <c r="FAL5" s="19"/>
      <c r="FAM5" s="19"/>
      <c r="FAN5" s="19"/>
      <c r="FAO5" s="19"/>
      <c r="FAP5" s="19"/>
      <c r="FAQ5" s="19"/>
      <c r="FAR5" s="19"/>
      <c r="FAS5" s="19"/>
      <c r="FAT5" s="19"/>
      <c r="FAU5" s="19"/>
      <c r="FAV5" s="19"/>
      <c r="FAW5" s="19"/>
      <c r="FAX5" s="19"/>
      <c r="FAY5" s="19"/>
      <c r="FAZ5" s="19"/>
      <c r="FBA5" s="19"/>
      <c r="FBB5" s="19"/>
      <c r="FBC5" s="19"/>
      <c r="FBD5" s="19"/>
      <c r="FBE5" s="19"/>
      <c r="FBF5" s="19"/>
      <c r="FBG5" s="19"/>
      <c r="FBH5" s="19"/>
      <c r="FBI5" s="19"/>
      <c r="FBJ5" s="19"/>
      <c r="FBK5" s="19"/>
      <c r="FBL5" s="19"/>
      <c r="FBM5" s="19"/>
      <c r="FBN5" s="19"/>
      <c r="FBO5" s="19"/>
      <c r="FBP5" s="19"/>
      <c r="FBQ5" s="19"/>
      <c r="FBR5" s="19"/>
      <c r="FBS5" s="19"/>
      <c r="FBT5" s="19"/>
      <c r="FBU5" s="19"/>
      <c r="FBV5" s="19"/>
      <c r="FBW5" s="19"/>
      <c r="FBX5" s="19"/>
      <c r="FBY5" s="19"/>
      <c r="FBZ5" s="19"/>
      <c r="FCA5" s="19"/>
      <c r="FCB5" s="19"/>
      <c r="FCC5" s="19"/>
      <c r="FCD5" s="19"/>
      <c r="FCE5" s="19"/>
      <c r="FCF5" s="19"/>
      <c r="FCG5" s="19"/>
      <c r="FCH5" s="19"/>
      <c r="FCI5" s="19"/>
      <c r="FCJ5" s="19"/>
      <c r="FCK5" s="19"/>
      <c r="FCL5" s="19"/>
      <c r="FCM5" s="19"/>
      <c r="FCN5" s="19"/>
      <c r="FCO5" s="19"/>
      <c r="FCP5" s="19"/>
      <c r="FCQ5" s="19"/>
      <c r="FCR5" s="19"/>
      <c r="FCS5" s="19"/>
      <c r="FCT5" s="19"/>
      <c r="FCU5" s="19"/>
      <c r="FCV5" s="19"/>
      <c r="FCW5" s="19"/>
      <c r="FCX5" s="19"/>
      <c r="FCY5" s="19"/>
      <c r="FCZ5" s="19"/>
      <c r="FDA5" s="19"/>
      <c r="FDB5" s="19"/>
      <c r="FDC5" s="19"/>
      <c r="FDD5" s="19"/>
      <c r="FDE5" s="19"/>
      <c r="FDF5" s="19"/>
      <c r="FDG5" s="19"/>
      <c r="FDH5" s="19"/>
      <c r="FDI5" s="19"/>
      <c r="FDJ5" s="19"/>
      <c r="FDK5" s="19"/>
      <c r="FDL5" s="19"/>
      <c r="FDM5" s="19"/>
      <c r="FDN5" s="19"/>
      <c r="FDO5" s="19"/>
      <c r="FDP5" s="19"/>
      <c r="FDQ5" s="19"/>
      <c r="FDR5" s="19"/>
      <c r="FDS5" s="19"/>
      <c r="FDT5" s="19"/>
      <c r="FDU5" s="19"/>
      <c r="FDV5" s="19"/>
      <c r="FDW5" s="19"/>
      <c r="FDX5" s="19"/>
      <c r="FDY5" s="19"/>
      <c r="FDZ5" s="19"/>
      <c r="FEA5" s="19"/>
      <c r="FEB5" s="19"/>
      <c r="FEC5" s="19"/>
      <c r="FED5" s="19"/>
      <c r="FEE5" s="19"/>
      <c r="FEF5" s="19"/>
      <c r="FEG5" s="19"/>
      <c r="FEH5" s="19"/>
      <c r="FEI5" s="19"/>
      <c r="FEJ5" s="19"/>
      <c r="FEK5" s="19"/>
      <c r="FEL5" s="19"/>
      <c r="FEM5" s="19"/>
      <c r="FEN5" s="19"/>
      <c r="FEO5" s="19"/>
      <c r="FEP5" s="19"/>
      <c r="FEQ5" s="19"/>
      <c r="FER5" s="19"/>
      <c r="FES5" s="19"/>
      <c r="FET5" s="19"/>
      <c r="FEU5" s="19"/>
      <c r="FEV5" s="19"/>
      <c r="FEW5" s="19"/>
      <c r="FEX5" s="19"/>
      <c r="FEY5" s="19"/>
      <c r="FEZ5" s="19"/>
      <c r="FFA5" s="19"/>
      <c r="FFB5" s="19"/>
      <c r="FFC5" s="19"/>
      <c r="FFD5" s="19"/>
      <c r="FFE5" s="19"/>
      <c r="FFF5" s="19"/>
      <c r="FFG5" s="19"/>
      <c r="FFH5" s="19"/>
      <c r="FFI5" s="19"/>
      <c r="FFJ5" s="19"/>
      <c r="FFK5" s="19"/>
      <c r="FFL5" s="19"/>
      <c r="FFM5" s="19"/>
      <c r="FFN5" s="19"/>
      <c r="FFO5" s="19"/>
      <c r="FFP5" s="19"/>
      <c r="FFQ5" s="19"/>
      <c r="FFR5" s="19"/>
      <c r="FFS5" s="19"/>
      <c r="FFT5" s="19"/>
      <c r="FFU5" s="19"/>
      <c r="FFV5" s="19"/>
      <c r="FFW5" s="19"/>
      <c r="FFX5" s="19"/>
      <c r="FFY5" s="19"/>
      <c r="FFZ5" s="19"/>
      <c r="FGA5" s="19"/>
      <c r="FGB5" s="19"/>
      <c r="FGC5" s="19"/>
      <c r="FGD5" s="19"/>
      <c r="FGE5" s="19"/>
      <c r="FGF5" s="19"/>
      <c r="FGG5" s="19"/>
      <c r="FGH5" s="19"/>
      <c r="FGI5" s="19"/>
      <c r="FGJ5" s="19"/>
      <c r="FGK5" s="19"/>
      <c r="FGL5" s="19"/>
      <c r="FGM5" s="19"/>
      <c r="FGN5" s="19"/>
      <c r="FGO5" s="19"/>
      <c r="FGP5" s="19"/>
      <c r="FGQ5" s="19"/>
      <c r="FGR5" s="19"/>
      <c r="FGS5" s="19"/>
      <c r="FGT5" s="19"/>
      <c r="FGU5" s="19"/>
      <c r="FGV5" s="19"/>
      <c r="FGW5" s="19"/>
      <c r="FGX5" s="19"/>
      <c r="FGY5" s="19"/>
      <c r="FGZ5" s="19"/>
      <c r="FHA5" s="19"/>
      <c r="FHB5" s="19"/>
      <c r="FHC5" s="19"/>
      <c r="FHD5" s="19"/>
      <c r="FHE5" s="19"/>
      <c r="FHF5" s="19"/>
      <c r="FHG5" s="19"/>
      <c r="FHH5" s="19"/>
      <c r="FHI5" s="19"/>
      <c r="FHJ5" s="19"/>
      <c r="FHK5" s="19"/>
      <c r="FHL5" s="19"/>
      <c r="FHM5" s="19"/>
      <c r="FHN5" s="19"/>
      <c r="FHO5" s="19"/>
      <c r="FHP5" s="19"/>
      <c r="FHQ5" s="19"/>
      <c r="FHR5" s="19"/>
      <c r="FHS5" s="19"/>
      <c r="FHT5" s="19"/>
      <c r="FHU5" s="19"/>
      <c r="FHV5" s="19"/>
      <c r="FHW5" s="19"/>
      <c r="FHX5" s="19"/>
      <c r="FHY5" s="19"/>
      <c r="FHZ5" s="19"/>
      <c r="FIA5" s="19"/>
      <c r="FIB5" s="19"/>
      <c r="FIC5" s="19"/>
      <c r="FID5" s="19"/>
      <c r="FIE5" s="19"/>
      <c r="FIF5" s="19"/>
      <c r="FIG5" s="19"/>
      <c r="FIH5" s="19"/>
      <c r="FII5" s="19"/>
      <c r="FIJ5" s="19"/>
      <c r="FIK5" s="19"/>
      <c r="FIL5" s="19"/>
      <c r="FIM5" s="19"/>
      <c r="FIN5" s="19"/>
      <c r="FIO5" s="19"/>
      <c r="FIP5" s="19"/>
      <c r="FIQ5" s="19"/>
      <c r="FIR5" s="19"/>
      <c r="FIS5" s="19"/>
      <c r="FIT5" s="19"/>
      <c r="FIU5" s="19"/>
      <c r="FIV5" s="19"/>
      <c r="FIW5" s="19"/>
      <c r="FIX5" s="19"/>
      <c r="FIY5" s="19"/>
      <c r="FIZ5" s="19"/>
      <c r="FJA5" s="19"/>
      <c r="FJB5" s="19"/>
      <c r="FJC5" s="19"/>
      <c r="FJD5" s="19"/>
      <c r="FJE5" s="19"/>
      <c r="FJF5" s="19"/>
      <c r="FJG5" s="19"/>
      <c r="FJH5" s="19"/>
      <c r="FJI5" s="19"/>
      <c r="FJJ5" s="19"/>
      <c r="FJK5" s="19"/>
      <c r="FJL5" s="19"/>
      <c r="FJM5" s="19"/>
      <c r="FJN5" s="19"/>
      <c r="FJO5" s="19"/>
      <c r="FJP5" s="19"/>
      <c r="FJQ5" s="19"/>
      <c r="FJR5" s="19"/>
      <c r="FJS5" s="19"/>
      <c r="FJT5" s="19"/>
      <c r="FJU5" s="19"/>
      <c r="FJV5" s="19"/>
      <c r="FJW5" s="19"/>
      <c r="FJX5" s="19"/>
      <c r="FJY5" s="19"/>
      <c r="FJZ5" s="19"/>
      <c r="FKA5" s="19"/>
      <c r="FKB5" s="19"/>
      <c r="FKC5" s="19"/>
      <c r="FKD5" s="19"/>
      <c r="FKE5" s="19"/>
      <c r="FKF5" s="19"/>
      <c r="FKG5" s="19"/>
      <c r="FKH5" s="19"/>
      <c r="FKI5" s="19"/>
      <c r="FKJ5" s="19"/>
      <c r="FKK5" s="19"/>
      <c r="FKL5" s="19"/>
      <c r="FKM5" s="19"/>
      <c r="FKN5" s="19"/>
      <c r="FKO5" s="19"/>
      <c r="FKP5" s="19"/>
      <c r="FKQ5" s="19"/>
      <c r="FKR5" s="19"/>
      <c r="FKS5" s="19"/>
      <c r="FKT5" s="19"/>
      <c r="FKU5" s="19"/>
      <c r="FKV5" s="19"/>
      <c r="FKW5" s="19"/>
      <c r="FKX5" s="19"/>
      <c r="FKY5" s="19"/>
      <c r="FKZ5" s="19"/>
      <c r="FLA5" s="19"/>
      <c r="FLB5" s="19"/>
      <c r="FLC5" s="19"/>
      <c r="FLD5" s="19"/>
      <c r="FLE5" s="19"/>
      <c r="FLF5" s="19"/>
      <c r="FLG5" s="19"/>
      <c r="FLH5" s="19"/>
      <c r="FLI5" s="19"/>
      <c r="FLJ5" s="19"/>
      <c r="FLK5" s="19"/>
      <c r="FLL5" s="19"/>
      <c r="FLM5" s="19"/>
      <c r="FLN5" s="19"/>
      <c r="FLO5" s="19"/>
      <c r="FLP5" s="19"/>
      <c r="FLQ5" s="19"/>
      <c r="FLR5" s="19"/>
      <c r="FLS5" s="19"/>
      <c r="FLT5" s="19"/>
      <c r="FLU5" s="19"/>
      <c r="FLV5" s="19"/>
      <c r="FLW5" s="19"/>
      <c r="FLX5" s="19"/>
      <c r="FLY5" s="19"/>
      <c r="FLZ5" s="19"/>
      <c r="FMA5" s="19"/>
      <c r="FMB5" s="19"/>
      <c r="FMC5" s="19"/>
      <c r="FMD5" s="19"/>
      <c r="FME5" s="19"/>
      <c r="FMF5" s="19"/>
      <c r="FMG5" s="19"/>
      <c r="FMH5" s="19"/>
      <c r="FMI5" s="19"/>
      <c r="FMJ5" s="19"/>
      <c r="FMK5" s="19"/>
      <c r="FML5" s="19"/>
      <c r="FMM5" s="19"/>
      <c r="FMN5" s="19"/>
      <c r="FMO5" s="19"/>
      <c r="FMP5" s="19"/>
      <c r="FMQ5" s="19"/>
      <c r="FMR5" s="19"/>
      <c r="FMS5" s="19"/>
      <c r="FMT5" s="19"/>
      <c r="FMU5" s="19"/>
      <c r="FMV5" s="19"/>
      <c r="FMW5" s="19"/>
      <c r="FMX5" s="19"/>
      <c r="FMY5" s="19"/>
      <c r="FMZ5" s="19"/>
      <c r="FNA5" s="19"/>
      <c r="FNB5" s="19"/>
      <c r="FNC5" s="19"/>
      <c r="FND5" s="19"/>
      <c r="FNE5" s="19"/>
      <c r="FNF5" s="19"/>
      <c r="FNG5" s="19"/>
      <c r="FNH5" s="19"/>
      <c r="FNI5" s="19"/>
      <c r="FNJ5" s="19"/>
      <c r="FNK5" s="19"/>
      <c r="FNL5" s="19"/>
      <c r="FNM5" s="19"/>
      <c r="FNN5" s="19"/>
      <c r="FNO5" s="19"/>
      <c r="FNP5" s="19"/>
      <c r="FNQ5" s="19"/>
      <c r="FNR5" s="19"/>
      <c r="FNS5" s="19"/>
      <c r="FNT5" s="19"/>
      <c r="FNU5" s="19"/>
      <c r="FNV5" s="19"/>
      <c r="FNW5" s="19"/>
      <c r="FNX5" s="19"/>
      <c r="FNY5" s="19"/>
      <c r="FNZ5" s="19"/>
      <c r="FOA5" s="19"/>
      <c r="FOB5" s="19"/>
      <c r="FOC5" s="19"/>
      <c r="FOD5" s="19"/>
      <c r="FOE5" s="19"/>
      <c r="FOF5" s="19"/>
      <c r="FOG5" s="19"/>
      <c r="FOH5" s="19"/>
      <c r="FOI5" s="19"/>
      <c r="FOJ5" s="19"/>
      <c r="FOK5" s="19"/>
      <c r="FOL5" s="19"/>
      <c r="FOM5" s="19"/>
      <c r="FON5" s="19"/>
      <c r="FOO5" s="19"/>
      <c r="FOP5" s="19"/>
      <c r="FOQ5" s="19"/>
      <c r="FOR5" s="19"/>
      <c r="FOS5" s="19"/>
      <c r="FOT5" s="19"/>
      <c r="FOU5" s="19"/>
      <c r="FOV5" s="19"/>
      <c r="FOW5" s="19"/>
      <c r="FOX5" s="19"/>
      <c r="FOY5" s="19"/>
      <c r="FOZ5" s="19"/>
      <c r="FPA5" s="19"/>
      <c r="FPB5" s="19"/>
      <c r="FPC5" s="19"/>
      <c r="FPD5" s="19"/>
      <c r="FPE5" s="19"/>
      <c r="FPF5" s="19"/>
      <c r="FPG5" s="19"/>
      <c r="FPH5" s="19"/>
      <c r="FPI5" s="19"/>
      <c r="FPJ5" s="19"/>
      <c r="FPK5" s="19"/>
      <c r="FPL5" s="19"/>
      <c r="FPM5" s="19"/>
      <c r="FPN5" s="19"/>
      <c r="FPO5" s="19"/>
      <c r="FPP5" s="19"/>
      <c r="FPQ5" s="19"/>
      <c r="FPR5" s="19"/>
      <c r="FPS5" s="19"/>
      <c r="FPT5" s="19"/>
      <c r="FPU5" s="19"/>
      <c r="FPV5" s="19"/>
      <c r="FPW5" s="19"/>
      <c r="FPX5" s="19"/>
      <c r="FPY5" s="19"/>
      <c r="FPZ5" s="19"/>
      <c r="FQA5" s="19"/>
      <c r="FQB5" s="19"/>
      <c r="FQC5" s="19"/>
      <c r="FQD5" s="19"/>
      <c r="FQE5" s="19"/>
      <c r="FQF5" s="19"/>
      <c r="FQG5" s="19"/>
      <c r="FQH5" s="19"/>
      <c r="FQI5" s="19"/>
      <c r="FQJ5" s="19"/>
      <c r="FQK5" s="19"/>
      <c r="FQL5" s="19"/>
      <c r="FQM5" s="19"/>
      <c r="FQN5" s="19"/>
      <c r="FQO5" s="19"/>
      <c r="FQP5" s="19"/>
      <c r="FQQ5" s="19"/>
      <c r="FQR5" s="19"/>
      <c r="FQS5" s="19"/>
      <c r="FQT5" s="19"/>
      <c r="FQU5" s="19"/>
      <c r="FQV5" s="19"/>
      <c r="FQW5" s="19"/>
      <c r="FQX5" s="19"/>
      <c r="FQY5" s="19"/>
      <c r="FQZ5" s="19"/>
      <c r="FRA5" s="19"/>
      <c r="FRB5" s="19"/>
      <c r="FRC5" s="19"/>
      <c r="FRD5" s="19"/>
      <c r="FRE5" s="19"/>
      <c r="FRF5" s="19"/>
      <c r="FRG5" s="19"/>
      <c r="FRH5" s="19"/>
      <c r="FRI5" s="19"/>
      <c r="FRJ5" s="19"/>
      <c r="FRK5" s="19"/>
      <c r="FRL5" s="19"/>
      <c r="FRM5" s="19"/>
      <c r="FRN5" s="19"/>
      <c r="FRO5" s="19"/>
      <c r="FRP5" s="19"/>
      <c r="FRQ5" s="19"/>
      <c r="FRR5" s="19"/>
      <c r="FRS5" s="19"/>
      <c r="FRT5" s="19"/>
      <c r="FRU5" s="19"/>
      <c r="FRV5" s="19"/>
      <c r="FRW5" s="19"/>
      <c r="FRX5" s="19"/>
      <c r="FRY5" s="19"/>
      <c r="FRZ5" s="19"/>
      <c r="FSA5" s="19"/>
      <c r="FSB5" s="19"/>
      <c r="FSC5" s="19"/>
      <c r="FSD5" s="19"/>
      <c r="FSE5" s="19"/>
      <c r="FSF5" s="19"/>
      <c r="FSG5" s="19"/>
      <c r="FSH5" s="19"/>
      <c r="FSI5" s="19"/>
      <c r="FSJ5" s="19"/>
      <c r="FSK5" s="19"/>
      <c r="FSL5" s="19"/>
      <c r="FSM5" s="19"/>
      <c r="FSN5" s="19"/>
      <c r="FSO5" s="19"/>
      <c r="FSP5" s="19"/>
      <c r="FSQ5" s="19"/>
      <c r="FSR5" s="19"/>
      <c r="FSS5" s="19"/>
      <c r="FST5" s="19"/>
      <c r="FSU5" s="19"/>
      <c r="FSV5" s="19"/>
      <c r="FSW5" s="19"/>
      <c r="FSX5" s="19"/>
      <c r="FSY5" s="19"/>
      <c r="FSZ5" s="19"/>
      <c r="FTA5" s="19"/>
      <c r="FTB5" s="19"/>
      <c r="FTC5" s="19"/>
      <c r="FTD5" s="19"/>
      <c r="FTE5" s="19"/>
      <c r="FTF5" s="19"/>
      <c r="FTG5" s="19"/>
      <c r="FTH5" s="19"/>
      <c r="FTI5" s="19"/>
      <c r="FTJ5" s="19"/>
      <c r="FTK5" s="19"/>
      <c r="FTL5" s="19"/>
      <c r="FTM5" s="19"/>
      <c r="FTN5" s="19"/>
      <c r="FTO5" s="19"/>
      <c r="FTP5" s="19"/>
      <c r="FTQ5" s="19"/>
      <c r="FTR5" s="19"/>
      <c r="FTS5" s="19"/>
      <c r="FTT5" s="19"/>
      <c r="FTU5" s="19"/>
      <c r="FTV5" s="19"/>
      <c r="FTW5" s="19"/>
      <c r="FTX5" s="19"/>
      <c r="FTY5" s="19"/>
      <c r="FTZ5" s="19"/>
      <c r="FUA5" s="19"/>
      <c r="FUB5" s="19"/>
      <c r="FUC5" s="19"/>
      <c r="FUD5" s="19"/>
      <c r="FUE5" s="19"/>
      <c r="FUF5" s="19"/>
      <c r="FUG5" s="19"/>
      <c r="FUH5" s="19"/>
      <c r="FUI5" s="19"/>
      <c r="FUJ5" s="19"/>
      <c r="FUK5" s="19"/>
      <c r="FUL5" s="19"/>
      <c r="FUM5" s="19"/>
      <c r="FUN5" s="19"/>
      <c r="FUO5" s="19"/>
      <c r="FUP5" s="19"/>
      <c r="FUQ5" s="19"/>
      <c r="FUR5" s="19"/>
      <c r="FUS5" s="19"/>
      <c r="FUT5" s="19"/>
      <c r="FUU5" s="19"/>
      <c r="FUV5" s="19"/>
      <c r="FUW5" s="19"/>
      <c r="FUX5" s="19"/>
      <c r="FUY5" s="19"/>
      <c r="FUZ5" s="19"/>
      <c r="FVA5" s="19"/>
      <c r="FVB5" s="19"/>
      <c r="FVC5" s="19"/>
      <c r="FVD5" s="19"/>
      <c r="FVE5" s="19"/>
      <c r="FVF5" s="19"/>
      <c r="FVG5" s="19"/>
      <c r="FVH5" s="19"/>
      <c r="FVI5" s="19"/>
      <c r="FVJ5" s="19"/>
      <c r="FVK5" s="19"/>
      <c r="FVL5" s="19"/>
      <c r="FVM5" s="19"/>
      <c r="FVN5" s="19"/>
      <c r="FVO5" s="19"/>
      <c r="FVP5" s="19"/>
      <c r="FVQ5" s="19"/>
      <c r="FVR5" s="19"/>
      <c r="FVS5" s="19"/>
      <c r="FVT5" s="19"/>
      <c r="FVU5" s="19"/>
      <c r="FVV5" s="19"/>
      <c r="FVW5" s="19"/>
      <c r="FVX5" s="19"/>
      <c r="FVY5" s="19"/>
      <c r="FVZ5" s="19"/>
      <c r="FWA5" s="19"/>
      <c r="FWB5" s="19"/>
      <c r="FWC5" s="19"/>
      <c r="FWD5" s="19"/>
      <c r="FWE5" s="19"/>
      <c r="FWF5" s="19"/>
      <c r="FWG5" s="19"/>
      <c r="FWH5" s="19"/>
      <c r="FWI5" s="19"/>
      <c r="FWJ5" s="19"/>
      <c r="FWK5" s="19"/>
      <c r="FWL5" s="19"/>
      <c r="FWM5" s="19"/>
      <c r="FWN5" s="19"/>
      <c r="FWO5" s="19"/>
      <c r="FWP5" s="19"/>
      <c r="FWQ5" s="19"/>
      <c r="FWR5" s="19"/>
      <c r="FWS5" s="19"/>
      <c r="FWT5" s="19"/>
      <c r="FWU5" s="19"/>
      <c r="FWV5" s="19"/>
      <c r="FWW5" s="19"/>
      <c r="FWX5" s="19"/>
      <c r="FWY5" s="19"/>
      <c r="FWZ5" s="19"/>
      <c r="FXA5" s="19"/>
      <c r="FXB5" s="19"/>
      <c r="FXC5" s="19"/>
      <c r="FXD5" s="19"/>
      <c r="FXE5" s="19"/>
      <c r="FXF5" s="19"/>
      <c r="FXG5" s="19"/>
      <c r="FXH5" s="19"/>
      <c r="FXI5" s="19"/>
      <c r="FXJ5" s="19"/>
      <c r="FXK5" s="19"/>
      <c r="FXL5" s="19"/>
      <c r="FXM5" s="19"/>
      <c r="FXN5" s="19"/>
      <c r="FXO5" s="19"/>
      <c r="FXP5" s="19"/>
      <c r="FXQ5" s="19"/>
      <c r="FXR5" s="19"/>
      <c r="FXS5" s="19"/>
      <c r="FXT5" s="19"/>
      <c r="FXU5" s="19"/>
      <c r="FXV5" s="19"/>
      <c r="FXW5" s="19"/>
      <c r="FXX5" s="19"/>
      <c r="FXY5" s="19"/>
      <c r="FXZ5" s="19"/>
      <c r="FYA5" s="19"/>
      <c r="FYB5" s="19"/>
      <c r="FYC5" s="19"/>
      <c r="FYD5" s="19"/>
      <c r="FYE5" s="19"/>
      <c r="FYF5" s="19"/>
      <c r="FYG5" s="19"/>
      <c r="FYH5" s="19"/>
      <c r="FYI5" s="19"/>
      <c r="FYJ5" s="19"/>
      <c r="FYK5" s="19"/>
      <c r="FYL5" s="19"/>
      <c r="FYM5" s="19"/>
      <c r="FYN5" s="19"/>
      <c r="FYO5" s="19"/>
      <c r="FYP5" s="19"/>
      <c r="FYQ5" s="19"/>
      <c r="FYR5" s="19"/>
      <c r="FYS5" s="19"/>
      <c r="FYT5" s="19"/>
      <c r="FYU5" s="19"/>
      <c r="FYV5" s="19"/>
      <c r="FYW5" s="19"/>
      <c r="FYX5" s="19"/>
      <c r="FYY5" s="19"/>
      <c r="FYZ5" s="19"/>
      <c r="FZA5" s="19"/>
      <c r="FZB5" s="19"/>
      <c r="FZC5" s="19"/>
      <c r="FZD5" s="19"/>
      <c r="FZE5" s="19"/>
      <c r="FZF5" s="19"/>
      <c r="FZG5" s="19"/>
      <c r="FZH5" s="19"/>
      <c r="FZI5" s="19"/>
      <c r="FZJ5" s="19"/>
      <c r="FZK5" s="19"/>
      <c r="FZL5" s="19"/>
      <c r="FZM5" s="19"/>
      <c r="FZN5" s="19"/>
      <c r="FZO5" s="19"/>
      <c r="FZP5" s="19"/>
      <c r="FZQ5" s="19"/>
      <c r="FZR5" s="19"/>
      <c r="FZS5" s="19"/>
      <c r="FZT5" s="19"/>
      <c r="FZU5" s="19"/>
      <c r="FZV5" s="19"/>
      <c r="FZW5" s="19"/>
      <c r="FZX5" s="19"/>
      <c r="FZY5" s="19"/>
      <c r="FZZ5" s="19"/>
      <c r="GAA5" s="19"/>
      <c r="GAB5" s="19"/>
      <c r="GAC5" s="19"/>
      <c r="GAD5" s="19"/>
      <c r="GAE5" s="19"/>
      <c r="GAF5" s="19"/>
      <c r="GAG5" s="19"/>
      <c r="GAH5" s="19"/>
      <c r="GAI5" s="19"/>
      <c r="GAJ5" s="19"/>
      <c r="GAK5" s="19"/>
      <c r="GAL5" s="19"/>
      <c r="GAM5" s="19"/>
      <c r="GAN5" s="19"/>
      <c r="GAO5" s="19"/>
      <c r="GAP5" s="19"/>
      <c r="GAQ5" s="19"/>
      <c r="GAR5" s="19"/>
      <c r="GAS5" s="19"/>
      <c r="GAT5" s="19"/>
      <c r="GAU5" s="19"/>
      <c r="GAV5" s="19"/>
      <c r="GAW5" s="19"/>
      <c r="GAX5" s="19"/>
      <c r="GAY5" s="19"/>
      <c r="GAZ5" s="19"/>
      <c r="GBA5" s="19"/>
      <c r="GBB5" s="19"/>
      <c r="GBC5" s="19"/>
      <c r="GBD5" s="19"/>
      <c r="GBE5" s="19"/>
      <c r="GBF5" s="19"/>
      <c r="GBG5" s="19"/>
      <c r="GBH5" s="19"/>
      <c r="GBI5" s="19"/>
      <c r="GBJ5" s="19"/>
      <c r="GBK5" s="19"/>
      <c r="GBL5" s="19"/>
      <c r="GBM5" s="19"/>
      <c r="GBN5" s="19"/>
      <c r="GBO5" s="19"/>
      <c r="GBP5" s="19"/>
      <c r="GBQ5" s="19"/>
      <c r="GBR5" s="19"/>
      <c r="GBS5" s="19"/>
      <c r="GBT5" s="19"/>
      <c r="GBU5" s="19"/>
      <c r="GBV5" s="19"/>
      <c r="GBW5" s="19"/>
      <c r="GBX5" s="19"/>
      <c r="GBY5" s="19"/>
      <c r="GBZ5" s="19"/>
      <c r="GCA5" s="19"/>
      <c r="GCB5" s="19"/>
      <c r="GCC5" s="19"/>
      <c r="GCD5" s="19"/>
      <c r="GCE5" s="19"/>
      <c r="GCF5" s="19"/>
      <c r="GCG5" s="19"/>
      <c r="GCH5" s="19"/>
      <c r="GCI5" s="19"/>
      <c r="GCJ5" s="19"/>
      <c r="GCK5" s="19"/>
      <c r="GCL5" s="19"/>
      <c r="GCM5" s="19"/>
      <c r="GCN5" s="19"/>
      <c r="GCO5" s="19"/>
      <c r="GCP5" s="19"/>
      <c r="GCQ5" s="19"/>
      <c r="GCR5" s="19"/>
      <c r="GCS5" s="19"/>
      <c r="GCT5" s="19"/>
      <c r="GCU5" s="19"/>
      <c r="GCV5" s="19"/>
      <c r="GCW5" s="19"/>
      <c r="GCX5" s="19"/>
      <c r="GCY5" s="19"/>
      <c r="GCZ5" s="19"/>
      <c r="GDA5" s="19"/>
      <c r="GDB5" s="19"/>
      <c r="GDC5" s="19"/>
      <c r="GDD5" s="19"/>
      <c r="GDE5" s="19"/>
      <c r="GDF5" s="19"/>
      <c r="GDG5" s="19"/>
      <c r="GDH5" s="19"/>
      <c r="GDI5" s="19"/>
      <c r="GDJ5" s="19"/>
      <c r="GDK5" s="19"/>
      <c r="GDL5" s="19"/>
      <c r="GDM5" s="19"/>
      <c r="GDN5" s="19"/>
      <c r="GDO5" s="19"/>
      <c r="GDP5" s="19"/>
      <c r="GDQ5" s="19"/>
      <c r="GDR5" s="19"/>
      <c r="GDS5" s="19"/>
      <c r="GDT5" s="19"/>
      <c r="GDU5" s="19"/>
      <c r="GDV5" s="19"/>
      <c r="GDW5" s="19"/>
      <c r="GDX5" s="19"/>
      <c r="GDY5" s="19"/>
      <c r="GDZ5" s="19"/>
      <c r="GEA5" s="19"/>
      <c r="GEB5" s="19"/>
      <c r="GEC5" s="19"/>
      <c r="GED5" s="19"/>
      <c r="GEE5" s="19"/>
      <c r="GEF5" s="19"/>
      <c r="GEG5" s="19"/>
      <c r="GEH5" s="19"/>
      <c r="GEI5" s="19"/>
      <c r="GEJ5" s="19"/>
      <c r="GEK5" s="19"/>
      <c r="GEL5" s="19"/>
      <c r="GEM5" s="19"/>
      <c r="GEN5" s="19"/>
      <c r="GEO5" s="19"/>
      <c r="GEP5" s="19"/>
      <c r="GEQ5" s="19"/>
      <c r="GER5" s="19"/>
      <c r="GES5" s="19"/>
      <c r="GET5" s="19"/>
      <c r="GEU5" s="19"/>
      <c r="GEV5" s="19"/>
      <c r="GEW5" s="19"/>
      <c r="GEX5" s="19"/>
      <c r="GEY5" s="19"/>
      <c r="GEZ5" s="19"/>
      <c r="GFA5" s="19"/>
      <c r="GFB5" s="19"/>
      <c r="GFC5" s="19"/>
      <c r="GFD5" s="19"/>
      <c r="GFE5" s="19"/>
      <c r="GFF5" s="19"/>
      <c r="GFG5" s="19"/>
      <c r="GFH5" s="19"/>
      <c r="GFI5" s="19"/>
      <c r="GFJ5" s="19"/>
      <c r="GFK5" s="19"/>
      <c r="GFL5" s="19"/>
      <c r="GFM5" s="19"/>
      <c r="GFN5" s="19"/>
      <c r="GFO5" s="19"/>
      <c r="GFP5" s="19"/>
      <c r="GFQ5" s="19"/>
      <c r="GFR5" s="19"/>
      <c r="GFS5" s="19"/>
      <c r="GFT5" s="19"/>
      <c r="GFU5" s="19"/>
      <c r="GFV5" s="19"/>
      <c r="GFW5" s="19"/>
      <c r="GFX5" s="19"/>
      <c r="GFY5" s="19"/>
      <c r="GFZ5" s="19"/>
      <c r="GGA5" s="19"/>
      <c r="GGB5" s="19"/>
      <c r="GGC5" s="19"/>
      <c r="GGD5" s="19"/>
      <c r="GGE5" s="19"/>
      <c r="GGF5" s="19"/>
      <c r="GGG5" s="19"/>
      <c r="GGH5" s="19"/>
      <c r="GGI5" s="19"/>
      <c r="GGJ5" s="19"/>
      <c r="GGK5" s="19"/>
      <c r="GGL5" s="19"/>
      <c r="GGM5" s="19"/>
      <c r="GGN5" s="19"/>
      <c r="GGO5" s="19"/>
      <c r="GGP5" s="19"/>
      <c r="GGQ5" s="19"/>
      <c r="GGR5" s="19"/>
      <c r="GGS5" s="19"/>
      <c r="GGT5" s="19"/>
      <c r="GGU5" s="19"/>
      <c r="GGV5" s="19"/>
      <c r="GGW5" s="19"/>
      <c r="GGX5" s="19"/>
      <c r="GGY5" s="19"/>
      <c r="GGZ5" s="19"/>
      <c r="GHA5" s="19"/>
      <c r="GHB5" s="19"/>
      <c r="GHC5" s="19"/>
      <c r="GHD5" s="19"/>
      <c r="GHE5" s="19"/>
      <c r="GHF5" s="19"/>
      <c r="GHG5" s="19"/>
      <c r="GHH5" s="19"/>
      <c r="GHI5" s="19"/>
      <c r="GHJ5" s="19"/>
      <c r="GHK5" s="19"/>
      <c r="GHL5" s="19"/>
      <c r="GHM5" s="19"/>
      <c r="GHN5" s="19"/>
      <c r="GHO5" s="19"/>
      <c r="GHP5" s="19"/>
      <c r="GHQ5" s="19"/>
      <c r="GHR5" s="19"/>
      <c r="GHS5" s="19"/>
      <c r="GHT5" s="19"/>
      <c r="GHU5" s="19"/>
      <c r="GHV5" s="19"/>
      <c r="GHW5" s="19"/>
      <c r="GHX5" s="19"/>
      <c r="GHY5" s="19"/>
      <c r="GHZ5" s="19"/>
      <c r="GIA5" s="19"/>
      <c r="GIB5" s="19"/>
      <c r="GIC5" s="19"/>
      <c r="GID5" s="19"/>
      <c r="GIE5" s="19"/>
      <c r="GIF5" s="19"/>
      <c r="GIG5" s="19"/>
      <c r="GIH5" s="19"/>
      <c r="GII5" s="19"/>
      <c r="GIJ5" s="19"/>
      <c r="GIK5" s="19"/>
      <c r="GIL5" s="19"/>
      <c r="GIM5" s="19"/>
      <c r="GIN5" s="19"/>
      <c r="GIO5" s="19"/>
      <c r="GIP5" s="19"/>
      <c r="GIQ5" s="19"/>
      <c r="GIR5" s="19"/>
      <c r="GIS5" s="19"/>
      <c r="GIT5" s="19"/>
      <c r="GIU5" s="19"/>
      <c r="GIV5" s="19"/>
      <c r="GIW5" s="19"/>
      <c r="GIX5" s="19"/>
      <c r="GIY5" s="19"/>
      <c r="GIZ5" s="19"/>
      <c r="GJA5" s="19"/>
      <c r="GJB5" s="19"/>
      <c r="GJC5" s="19"/>
      <c r="GJD5" s="19"/>
      <c r="GJE5" s="19"/>
      <c r="GJF5" s="19"/>
      <c r="GJG5" s="19"/>
      <c r="GJH5" s="19"/>
      <c r="GJI5" s="19"/>
      <c r="GJJ5" s="19"/>
      <c r="GJK5" s="19"/>
      <c r="GJL5" s="19"/>
      <c r="GJM5" s="19"/>
      <c r="GJN5" s="19"/>
      <c r="GJO5" s="19"/>
      <c r="GJP5" s="19"/>
      <c r="GJQ5" s="19"/>
      <c r="GJR5" s="19"/>
      <c r="GJS5" s="19"/>
      <c r="GJT5" s="19"/>
      <c r="GJU5" s="19"/>
      <c r="GJV5" s="19"/>
      <c r="GJW5" s="19"/>
      <c r="GJX5" s="19"/>
      <c r="GJY5" s="19"/>
      <c r="GJZ5" s="19"/>
      <c r="GKA5" s="19"/>
      <c r="GKB5" s="19"/>
      <c r="GKC5" s="19"/>
      <c r="GKD5" s="19"/>
      <c r="GKE5" s="19"/>
      <c r="GKF5" s="19"/>
      <c r="GKG5" s="19"/>
      <c r="GKH5" s="19"/>
      <c r="GKI5" s="19"/>
      <c r="GKJ5" s="19"/>
      <c r="GKK5" s="19"/>
      <c r="GKL5" s="19"/>
      <c r="GKM5" s="19"/>
      <c r="GKN5" s="19"/>
      <c r="GKO5" s="19"/>
      <c r="GKP5" s="19"/>
      <c r="GKQ5" s="19"/>
      <c r="GKR5" s="19"/>
      <c r="GKS5" s="19"/>
      <c r="GKT5" s="19"/>
      <c r="GKU5" s="19"/>
      <c r="GKV5" s="19"/>
      <c r="GKW5" s="19"/>
      <c r="GKX5" s="19"/>
      <c r="GKY5" s="19"/>
      <c r="GKZ5" s="19"/>
      <c r="GLA5" s="19"/>
      <c r="GLB5" s="19"/>
      <c r="GLC5" s="19"/>
      <c r="GLD5" s="19"/>
      <c r="GLE5" s="19"/>
      <c r="GLF5" s="19"/>
      <c r="GLG5" s="19"/>
      <c r="GLH5" s="19"/>
      <c r="GLI5" s="19"/>
      <c r="GLJ5" s="19"/>
      <c r="GLK5" s="19"/>
      <c r="GLL5" s="19"/>
      <c r="GLM5" s="19"/>
      <c r="GLN5" s="19"/>
      <c r="GLO5" s="19"/>
      <c r="GLP5" s="19"/>
      <c r="GLQ5" s="19"/>
      <c r="GLR5" s="19"/>
      <c r="GLS5" s="19"/>
      <c r="GLT5" s="19"/>
      <c r="GLU5" s="19"/>
      <c r="GLV5" s="19"/>
      <c r="GLW5" s="19"/>
      <c r="GLX5" s="19"/>
      <c r="GLY5" s="19"/>
      <c r="GLZ5" s="19"/>
      <c r="GMA5" s="19"/>
      <c r="GMB5" s="19"/>
      <c r="GMC5" s="19"/>
      <c r="GMD5" s="19"/>
      <c r="GME5" s="19"/>
      <c r="GMF5" s="19"/>
      <c r="GMG5" s="19"/>
      <c r="GMH5" s="19"/>
      <c r="GMI5" s="19"/>
      <c r="GMJ5" s="19"/>
      <c r="GMK5" s="19"/>
      <c r="GML5" s="19"/>
      <c r="GMM5" s="19"/>
      <c r="GMN5" s="19"/>
      <c r="GMO5" s="19"/>
      <c r="GMP5" s="19"/>
      <c r="GMQ5" s="19"/>
      <c r="GMR5" s="19"/>
      <c r="GMS5" s="19"/>
      <c r="GMT5" s="19"/>
      <c r="GMU5" s="19"/>
      <c r="GMV5" s="19"/>
      <c r="GMW5" s="19"/>
      <c r="GMX5" s="19"/>
      <c r="GMY5" s="19"/>
      <c r="GMZ5" s="19"/>
      <c r="GNA5" s="19"/>
      <c r="GNB5" s="19"/>
      <c r="GNC5" s="19"/>
      <c r="GND5" s="19"/>
      <c r="GNE5" s="19"/>
      <c r="GNF5" s="19"/>
      <c r="GNG5" s="19"/>
      <c r="GNH5" s="19"/>
      <c r="GNI5" s="19"/>
      <c r="GNJ5" s="19"/>
      <c r="GNK5" s="19"/>
      <c r="GNL5" s="19"/>
      <c r="GNM5" s="19"/>
      <c r="GNN5" s="19"/>
      <c r="GNO5" s="19"/>
      <c r="GNP5" s="19"/>
      <c r="GNQ5" s="19"/>
      <c r="GNR5" s="19"/>
      <c r="GNS5" s="19"/>
      <c r="GNT5" s="19"/>
      <c r="GNU5" s="19"/>
      <c r="GNV5" s="19"/>
      <c r="GNW5" s="19"/>
      <c r="GNX5" s="19"/>
      <c r="GNY5" s="19"/>
      <c r="GNZ5" s="19"/>
      <c r="GOA5" s="19"/>
      <c r="GOB5" s="19"/>
      <c r="GOC5" s="19"/>
      <c r="GOD5" s="19"/>
      <c r="GOE5" s="19"/>
      <c r="GOF5" s="19"/>
      <c r="GOG5" s="19"/>
      <c r="GOH5" s="19"/>
      <c r="GOI5" s="19"/>
      <c r="GOJ5" s="19"/>
      <c r="GOK5" s="19"/>
      <c r="GOL5" s="19"/>
      <c r="GOM5" s="19"/>
      <c r="GON5" s="19"/>
      <c r="GOO5" s="19"/>
      <c r="GOP5" s="19"/>
      <c r="GOQ5" s="19"/>
      <c r="GOR5" s="19"/>
      <c r="GOS5" s="19"/>
      <c r="GOT5" s="19"/>
      <c r="GOU5" s="19"/>
      <c r="GOV5" s="19"/>
      <c r="GOW5" s="19"/>
      <c r="GOX5" s="19"/>
      <c r="GOY5" s="19"/>
      <c r="GOZ5" s="19"/>
      <c r="GPA5" s="19"/>
      <c r="GPB5" s="19"/>
      <c r="GPC5" s="19"/>
      <c r="GPD5" s="19"/>
      <c r="GPE5" s="19"/>
      <c r="GPF5" s="19"/>
      <c r="GPG5" s="19"/>
      <c r="GPH5" s="19"/>
      <c r="GPI5" s="19"/>
      <c r="GPJ5" s="19"/>
      <c r="GPK5" s="19"/>
      <c r="GPL5" s="19"/>
      <c r="GPM5" s="19"/>
      <c r="GPN5" s="19"/>
      <c r="GPO5" s="19"/>
      <c r="GPP5" s="19"/>
      <c r="GPQ5" s="19"/>
      <c r="GPR5" s="19"/>
      <c r="GPS5" s="19"/>
      <c r="GPT5" s="19"/>
      <c r="GPU5" s="19"/>
      <c r="GPV5" s="19"/>
      <c r="GPW5" s="19"/>
      <c r="GPX5" s="19"/>
      <c r="GPY5" s="19"/>
      <c r="GPZ5" s="19"/>
      <c r="GQA5" s="19"/>
      <c r="GQB5" s="19"/>
      <c r="GQC5" s="19"/>
      <c r="GQD5" s="19"/>
      <c r="GQE5" s="19"/>
      <c r="GQF5" s="19"/>
      <c r="GQG5" s="19"/>
      <c r="GQH5" s="19"/>
      <c r="GQI5" s="19"/>
      <c r="GQJ5" s="19"/>
      <c r="GQK5" s="19"/>
      <c r="GQL5" s="19"/>
      <c r="GQM5" s="19"/>
      <c r="GQN5" s="19"/>
      <c r="GQO5" s="19"/>
      <c r="GQP5" s="19"/>
      <c r="GQQ5" s="19"/>
      <c r="GQR5" s="19"/>
      <c r="GQS5" s="19"/>
      <c r="GQT5" s="19"/>
      <c r="GQU5" s="19"/>
      <c r="GQV5" s="19"/>
      <c r="GQW5" s="19"/>
      <c r="GQX5" s="19"/>
      <c r="GQY5" s="19"/>
      <c r="GQZ5" s="19"/>
      <c r="GRA5" s="19"/>
      <c r="GRB5" s="19"/>
      <c r="GRC5" s="19"/>
      <c r="GRD5" s="19"/>
      <c r="GRE5" s="19"/>
      <c r="GRF5" s="19"/>
      <c r="GRG5" s="19"/>
      <c r="GRH5" s="19"/>
      <c r="GRI5" s="19"/>
      <c r="GRJ5" s="19"/>
      <c r="GRK5" s="19"/>
      <c r="GRL5" s="19"/>
      <c r="GRM5" s="19"/>
      <c r="GRN5" s="19"/>
      <c r="GRO5" s="19"/>
      <c r="GRP5" s="19"/>
      <c r="GRQ5" s="19"/>
      <c r="GRR5" s="19"/>
      <c r="GRS5" s="19"/>
      <c r="GRT5" s="19"/>
      <c r="GRU5" s="19"/>
      <c r="GRV5" s="19"/>
      <c r="GRW5" s="19"/>
      <c r="GRX5" s="19"/>
      <c r="GRY5" s="19"/>
      <c r="GRZ5" s="19"/>
      <c r="GSA5" s="19"/>
      <c r="GSB5" s="19"/>
      <c r="GSC5" s="19"/>
      <c r="GSD5" s="19"/>
      <c r="GSE5" s="19"/>
      <c r="GSF5" s="19"/>
      <c r="GSG5" s="19"/>
      <c r="GSH5" s="19"/>
      <c r="GSI5" s="19"/>
      <c r="GSJ5" s="19"/>
      <c r="GSK5" s="19"/>
      <c r="GSL5" s="19"/>
      <c r="GSM5" s="19"/>
      <c r="GSN5" s="19"/>
      <c r="GSO5" s="19"/>
      <c r="GSP5" s="19"/>
      <c r="GSQ5" s="19"/>
      <c r="GSR5" s="19"/>
      <c r="GSS5" s="19"/>
      <c r="GST5" s="19"/>
      <c r="GSU5" s="19"/>
      <c r="GSV5" s="19"/>
      <c r="GSW5" s="19"/>
      <c r="GSX5" s="19"/>
      <c r="GSY5" s="19"/>
      <c r="GSZ5" s="19"/>
      <c r="GTA5" s="19"/>
      <c r="GTB5" s="19"/>
      <c r="GTC5" s="19"/>
      <c r="GTD5" s="19"/>
      <c r="GTE5" s="19"/>
      <c r="GTF5" s="19"/>
      <c r="GTG5" s="19"/>
      <c r="GTH5" s="19"/>
      <c r="GTI5" s="19"/>
      <c r="GTJ5" s="19"/>
      <c r="GTK5" s="19"/>
      <c r="GTL5" s="19"/>
      <c r="GTM5" s="19"/>
      <c r="GTN5" s="19"/>
      <c r="GTO5" s="19"/>
      <c r="GTP5" s="19"/>
      <c r="GTQ5" s="19"/>
      <c r="GTR5" s="19"/>
      <c r="GTS5" s="19"/>
      <c r="GTT5" s="19"/>
      <c r="GTU5" s="19"/>
      <c r="GTV5" s="19"/>
      <c r="GTW5" s="19"/>
      <c r="GTX5" s="19"/>
      <c r="GTY5" s="19"/>
      <c r="GTZ5" s="19"/>
      <c r="GUA5" s="19"/>
      <c r="GUB5" s="19"/>
      <c r="GUC5" s="19"/>
      <c r="GUD5" s="19"/>
      <c r="GUE5" s="19"/>
      <c r="GUF5" s="19"/>
      <c r="GUG5" s="19"/>
      <c r="GUH5" s="19"/>
      <c r="GUI5" s="19"/>
      <c r="GUJ5" s="19"/>
      <c r="GUK5" s="19"/>
      <c r="GUL5" s="19"/>
      <c r="GUM5" s="19"/>
      <c r="GUN5" s="19"/>
      <c r="GUO5" s="19"/>
      <c r="GUP5" s="19"/>
      <c r="GUQ5" s="19"/>
      <c r="GUR5" s="19"/>
      <c r="GUS5" s="19"/>
      <c r="GUT5" s="19"/>
      <c r="GUU5" s="19"/>
      <c r="GUV5" s="19"/>
      <c r="GUW5" s="19"/>
      <c r="GUX5" s="19"/>
      <c r="GUY5" s="19"/>
      <c r="GUZ5" s="19"/>
      <c r="GVA5" s="19"/>
      <c r="GVB5" s="19"/>
      <c r="GVC5" s="19"/>
      <c r="GVD5" s="19"/>
      <c r="GVE5" s="19"/>
      <c r="GVF5" s="19"/>
      <c r="GVG5" s="19"/>
      <c r="GVH5" s="19"/>
      <c r="GVI5" s="19"/>
      <c r="GVJ5" s="19"/>
      <c r="GVK5" s="19"/>
      <c r="GVL5" s="19"/>
      <c r="GVM5" s="19"/>
      <c r="GVN5" s="19"/>
      <c r="GVO5" s="19"/>
      <c r="GVP5" s="19"/>
      <c r="GVQ5" s="19"/>
      <c r="GVR5" s="19"/>
      <c r="GVS5" s="19"/>
      <c r="GVT5" s="19"/>
      <c r="GVU5" s="19"/>
      <c r="GVV5" s="19"/>
      <c r="GVW5" s="19"/>
      <c r="GVX5" s="19"/>
      <c r="GVY5" s="19"/>
      <c r="GVZ5" s="19"/>
      <c r="GWA5" s="19"/>
      <c r="GWB5" s="19"/>
      <c r="GWC5" s="19"/>
      <c r="GWD5" s="19"/>
      <c r="GWE5" s="19"/>
      <c r="GWF5" s="19"/>
      <c r="GWG5" s="19"/>
      <c r="GWH5" s="19"/>
      <c r="GWI5" s="19"/>
      <c r="GWJ5" s="19"/>
      <c r="GWK5" s="19"/>
      <c r="GWL5" s="19"/>
      <c r="GWM5" s="19"/>
      <c r="GWN5" s="19"/>
      <c r="GWO5" s="19"/>
      <c r="GWP5" s="19"/>
      <c r="GWQ5" s="19"/>
      <c r="GWR5" s="19"/>
      <c r="GWS5" s="19"/>
      <c r="GWT5" s="19"/>
      <c r="GWU5" s="19"/>
      <c r="GWV5" s="19"/>
      <c r="GWW5" s="19"/>
      <c r="GWX5" s="19"/>
      <c r="GWY5" s="19"/>
      <c r="GWZ5" s="19"/>
      <c r="GXA5" s="19"/>
      <c r="GXB5" s="19"/>
      <c r="GXC5" s="19"/>
      <c r="GXD5" s="19"/>
      <c r="GXE5" s="19"/>
      <c r="GXF5" s="19"/>
      <c r="GXG5" s="19"/>
      <c r="GXH5" s="19"/>
      <c r="GXI5" s="19"/>
      <c r="GXJ5" s="19"/>
      <c r="GXK5" s="19"/>
      <c r="GXL5" s="19"/>
      <c r="GXM5" s="19"/>
      <c r="GXN5" s="19"/>
      <c r="GXO5" s="19"/>
      <c r="GXP5" s="19"/>
      <c r="GXQ5" s="19"/>
      <c r="GXR5" s="19"/>
      <c r="GXS5" s="19"/>
      <c r="GXT5" s="19"/>
      <c r="GXU5" s="19"/>
      <c r="GXV5" s="19"/>
      <c r="GXW5" s="19"/>
      <c r="GXX5" s="19"/>
      <c r="GXY5" s="19"/>
      <c r="GXZ5" s="19"/>
      <c r="GYA5" s="19"/>
      <c r="GYB5" s="19"/>
      <c r="GYC5" s="19"/>
      <c r="GYD5" s="19"/>
      <c r="GYE5" s="19"/>
      <c r="GYF5" s="19"/>
      <c r="GYG5" s="19"/>
      <c r="GYH5" s="19"/>
      <c r="GYI5" s="19"/>
      <c r="GYJ5" s="19"/>
      <c r="GYK5" s="19"/>
      <c r="GYL5" s="19"/>
      <c r="GYM5" s="19"/>
      <c r="GYN5" s="19"/>
      <c r="GYO5" s="19"/>
      <c r="GYP5" s="19"/>
      <c r="GYQ5" s="19"/>
      <c r="GYR5" s="19"/>
      <c r="GYS5" s="19"/>
      <c r="GYT5" s="19"/>
      <c r="GYU5" s="19"/>
      <c r="GYV5" s="19"/>
      <c r="GYW5" s="19"/>
      <c r="GYX5" s="19"/>
      <c r="GYY5" s="19"/>
      <c r="GYZ5" s="19"/>
      <c r="GZA5" s="19"/>
      <c r="GZB5" s="19"/>
      <c r="GZC5" s="19"/>
      <c r="GZD5" s="19"/>
      <c r="GZE5" s="19"/>
      <c r="GZF5" s="19"/>
      <c r="GZG5" s="19"/>
      <c r="GZH5" s="19"/>
      <c r="GZI5" s="19"/>
      <c r="GZJ5" s="19"/>
      <c r="GZK5" s="19"/>
      <c r="GZL5" s="19"/>
      <c r="GZM5" s="19"/>
      <c r="GZN5" s="19"/>
      <c r="GZO5" s="19"/>
      <c r="GZP5" s="19"/>
      <c r="GZQ5" s="19"/>
      <c r="GZR5" s="19"/>
      <c r="GZS5" s="19"/>
      <c r="GZT5" s="19"/>
      <c r="GZU5" s="19"/>
      <c r="GZV5" s="19"/>
      <c r="GZW5" s="19"/>
      <c r="GZX5" s="19"/>
      <c r="GZY5" s="19"/>
      <c r="GZZ5" s="19"/>
      <c r="HAA5" s="19"/>
      <c r="HAB5" s="19"/>
      <c r="HAC5" s="19"/>
      <c r="HAD5" s="19"/>
      <c r="HAE5" s="19"/>
      <c r="HAF5" s="19"/>
      <c r="HAG5" s="19"/>
      <c r="HAH5" s="19"/>
      <c r="HAI5" s="19"/>
      <c r="HAJ5" s="19"/>
      <c r="HAK5" s="19"/>
      <c r="HAL5" s="19"/>
      <c r="HAM5" s="19"/>
      <c r="HAN5" s="19"/>
      <c r="HAO5" s="19"/>
      <c r="HAP5" s="19"/>
      <c r="HAQ5" s="19"/>
      <c r="HAR5" s="19"/>
      <c r="HAS5" s="19"/>
      <c r="HAT5" s="19"/>
      <c r="HAU5" s="19"/>
      <c r="HAV5" s="19"/>
      <c r="HAW5" s="19"/>
      <c r="HAX5" s="19"/>
      <c r="HAY5" s="19"/>
      <c r="HAZ5" s="19"/>
      <c r="HBA5" s="19"/>
      <c r="HBB5" s="19"/>
      <c r="HBC5" s="19"/>
      <c r="HBD5" s="19"/>
      <c r="HBE5" s="19"/>
      <c r="HBF5" s="19"/>
      <c r="HBG5" s="19"/>
      <c r="HBH5" s="19"/>
      <c r="HBI5" s="19"/>
      <c r="HBJ5" s="19"/>
      <c r="HBK5" s="19"/>
      <c r="HBL5" s="19"/>
      <c r="HBM5" s="19"/>
      <c r="HBN5" s="19"/>
      <c r="HBO5" s="19"/>
      <c r="HBP5" s="19"/>
      <c r="HBQ5" s="19"/>
      <c r="HBR5" s="19"/>
      <c r="HBS5" s="19"/>
      <c r="HBT5" s="19"/>
      <c r="HBU5" s="19"/>
      <c r="HBV5" s="19"/>
      <c r="HBW5" s="19"/>
      <c r="HBX5" s="19"/>
      <c r="HBY5" s="19"/>
      <c r="HBZ5" s="19"/>
      <c r="HCA5" s="19"/>
      <c r="HCB5" s="19"/>
      <c r="HCC5" s="19"/>
      <c r="HCD5" s="19"/>
      <c r="HCE5" s="19"/>
      <c r="HCF5" s="19"/>
      <c r="HCG5" s="19"/>
      <c r="HCH5" s="19"/>
      <c r="HCI5" s="19"/>
      <c r="HCJ5" s="19"/>
      <c r="HCK5" s="19"/>
      <c r="HCL5" s="19"/>
      <c r="HCM5" s="19"/>
      <c r="HCN5" s="19"/>
      <c r="HCO5" s="19"/>
      <c r="HCP5" s="19"/>
      <c r="HCQ5" s="19"/>
      <c r="HCR5" s="19"/>
      <c r="HCS5" s="19"/>
      <c r="HCT5" s="19"/>
      <c r="HCU5" s="19"/>
      <c r="HCV5" s="19"/>
      <c r="HCW5" s="19"/>
      <c r="HCX5" s="19"/>
      <c r="HCY5" s="19"/>
      <c r="HCZ5" s="19"/>
      <c r="HDA5" s="19"/>
      <c r="HDB5" s="19"/>
      <c r="HDC5" s="19"/>
      <c r="HDD5" s="19"/>
      <c r="HDE5" s="19"/>
      <c r="HDF5" s="19"/>
      <c r="HDG5" s="19"/>
      <c r="HDH5" s="19"/>
      <c r="HDI5" s="19"/>
      <c r="HDJ5" s="19"/>
      <c r="HDK5" s="19"/>
      <c r="HDL5" s="19"/>
      <c r="HDM5" s="19"/>
      <c r="HDN5" s="19"/>
      <c r="HDO5" s="19"/>
      <c r="HDP5" s="19"/>
      <c r="HDQ5" s="19"/>
      <c r="HDR5" s="19"/>
      <c r="HDS5" s="19"/>
      <c r="HDT5" s="19"/>
      <c r="HDU5" s="19"/>
      <c r="HDV5" s="19"/>
      <c r="HDW5" s="19"/>
      <c r="HDX5" s="19"/>
      <c r="HDY5" s="19"/>
      <c r="HDZ5" s="19"/>
      <c r="HEA5" s="19"/>
      <c r="HEB5" s="19"/>
      <c r="HEC5" s="19"/>
      <c r="HED5" s="19"/>
      <c r="HEE5" s="19"/>
      <c r="HEF5" s="19"/>
      <c r="HEG5" s="19"/>
      <c r="HEH5" s="19"/>
      <c r="HEI5" s="19"/>
      <c r="HEJ5" s="19"/>
      <c r="HEK5" s="19"/>
      <c r="HEL5" s="19"/>
      <c r="HEM5" s="19"/>
      <c r="HEN5" s="19"/>
      <c r="HEO5" s="19"/>
      <c r="HEP5" s="19"/>
      <c r="HEQ5" s="19"/>
      <c r="HER5" s="19"/>
      <c r="HES5" s="19"/>
      <c r="HET5" s="19"/>
      <c r="HEU5" s="19"/>
      <c r="HEV5" s="19"/>
      <c r="HEW5" s="19"/>
      <c r="HEX5" s="19"/>
      <c r="HEY5" s="19"/>
      <c r="HEZ5" s="19"/>
      <c r="HFA5" s="19"/>
      <c r="HFB5" s="19"/>
      <c r="HFC5" s="19"/>
      <c r="HFD5" s="19"/>
      <c r="HFE5" s="19"/>
      <c r="HFF5" s="19"/>
      <c r="HFG5" s="19"/>
      <c r="HFH5" s="19"/>
      <c r="HFI5" s="19"/>
      <c r="HFJ5" s="19"/>
      <c r="HFK5" s="19"/>
      <c r="HFL5" s="19"/>
      <c r="HFM5" s="19"/>
      <c r="HFN5" s="19"/>
      <c r="HFO5" s="19"/>
      <c r="HFP5" s="19"/>
      <c r="HFQ5" s="19"/>
      <c r="HFR5" s="19"/>
      <c r="HFS5" s="19"/>
      <c r="HFT5" s="19"/>
      <c r="HFU5" s="19"/>
      <c r="HFV5" s="19"/>
      <c r="HFW5" s="19"/>
      <c r="HFX5" s="19"/>
      <c r="HFY5" s="19"/>
      <c r="HFZ5" s="19"/>
      <c r="HGA5" s="19"/>
      <c r="HGB5" s="19"/>
      <c r="HGC5" s="19"/>
      <c r="HGD5" s="19"/>
      <c r="HGE5" s="19"/>
      <c r="HGF5" s="19"/>
      <c r="HGG5" s="19"/>
      <c r="HGH5" s="19"/>
      <c r="HGI5" s="19"/>
      <c r="HGJ5" s="19"/>
      <c r="HGK5" s="19"/>
      <c r="HGL5" s="19"/>
      <c r="HGM5" s="19"/>
      <c r="HGN5" s="19"/>
      <c r="HGO5" s="19"/>
      <c r="HGP5" s="19"/>
      <c r="HGQ5" s="19"/>
      <c r="HGR5" s="19"/>
      <c r="HGS5" s="19"/>
      <c r="HGT5" s="19"/>
      <c r="HGU5" s="19"/>
      <c r="HGV5" s="19"/>
      <c r="HGW5" s="19"/>
      <c r="HGX5" s="19"/>
      <c r="HGY5" s="19"/>
      <c r="HGZ5" s="19"/>
      <c r="HHA5" s="19"/>
      <c r="HHB5" s="19"/>
      <c r="HHC5" s="19"/>
      <c r="HHD5" s="19"/>
      <c r="HHE5" s="19"/>
      <c r="HHF5" s="19"/>
      <c r="HHG5" s="19"/>
      <c r="HHH5" s="19"/>
      <c r="HHI5" s="19"/>
      <c r="HHJ5" s="19"/>
      <c r="HHK5" s="19"/>
      <c r="HHL5" s="19"/>
      <c r="HHM5" s="19"/>
      <c r="HHN5" s="19"/>
      <c r="HHO5" s="19"/>
      <c r="HHP5" s="19"/>
      <c r="HHQ5" s="19"/>
      <c r="HHR5" s="19"/>
      <c r="HHS5" s="19"/>
      <c r="HHT5" s="19"/>
      <c r="HHU5" s="19"/>
      <c r="HHV5" s="19"/>
      <c r="HHW5" s="19"/>
      <c r="HHX5" s="19"/>
      <c r="HHY5" s="19"/>
      <c r="HHZ5" s="19"/>
      <c r="HIA5" s="19"/>
      <c r="HIB5" s="19"/>
      <c r="HIC5" s="19"/>
      <c r="HID5" s="19"/>
      <c r="HIE5" s="19"/>
      <c r="HIF5" s="19"/>
      <c r="HIG5" s="19"/>
      <c r="HIH5" s="19"/>
      <c r="HII5" s="19"/>
      <c r="HIJ5" s="19"/>
      <c r="HIK5" s="19"/>
      <c r="HIL5" s="19"/>
      <c r="HIM5" s="19"/>
      <c r="HIN5" s="19"/>
      <c r="HIO5" s="19"/>
      <c r="HIP5" s="19"/>
      <c r="HIQ5" s="19"/>
      <c r="HIR5" s="19"/>
      <c r="HIS5" s="19"/>
      <c r="HIT5" s="19"/>
      <c r="HIU5" s="19"/>
      <c r="HIV5" s="19"/>
      <c r="HIW5" s="19"/>
      <c r="HIX5" s="19"/>
      <c r="HIY5" s="19"/>
      <c r="HIZ5" s="19"/>
      <c r="HJA5" s="19"/>
      <c r="HJB5" s="19"/>
      <c r="HJC5" s="19"/>
      <c r="HJD5" s="19"/>
      <c r="HJE5" s="19"/>
      <c r="HJF5" s="19"/>
      <c r="HJG5" s="19"/>
      <c r="HJH5" s="19"/>
      <c r="HJI5" s="19"/>
      <c r="HJJ5" s="19"/>
      <c r="HJK5" s="19"/>
      <c r="HJL5" s="19"/>
      <c r="HJM5" s="19"/>
      <c r="HJN5" s="19"/>
      <c r="HJO5" s="19"/>
      <c r="HJP5" s="19"/>
      <c r="HJQ5" s="19"/>
      <c r="HJR5" s="19"/>
      <c r="HJS5" s="19"/>
      <c r="HJT5" s="19"/>
      <c r="HJU5" s="19"/>
      <c r="HJV5" s="19"/>
      <c r="HJW5" s="19"/>
      <c r="HJX5" s="19"/>
      <c r="HJY5" s="19"/>
      <c r="HJZ5" s="19"/>
      <c r="HKA5" s="19"/>
      <c r="HKB5" s="19"/>
      <c r="HKC5" s="19"/>
      <c r="HKD5" s="19"/>
      <c r="HKE5" s="19"/>
      <c r="HKF5" s="19"/>
      <c r="HKG5" s="19"/>
      <c r="HKH5" s="19"/>
      <c r="HKI5" s="19"/>
      <c r="HKJ5" s="19"/>
      <c r="HKK5" s="19"/>
      <c r="HKL5" s="19"/>
      <c r="HKM5" s="19"/>
      <c r="HKN5" s="19"/>
      <c r="HKO5" s="19"/>
      <c r="HKP5" s="19"/>
      <c r="HKQ5" s="19"/>
      <c r="HKR5" s="19"/>
      <c r="HKS5" s="19"/>
      <c r="HKT5" s="19"/>
      <c r="HKU5" s="19"/>
      <c r="HKV5" s="19"/>
      <c r="HKW5" s="19"/>
      <c r="HKX5" s="19"/>
      <c r="HKY5" s="19"/>
      <c r="HKZ5" s="19"/>
      <c r="HLA5" s="19"/>
      <c r="HLB5" s="19"/>
      <c r="HLC5" s="19"/>
      <c r="HLD5" s="19"/>
      <c r="HLE5" s="19"/>
      <c r="HLF5" s="19"/>
      <c r="HLG5" s="19"/>
      <c r="HLH5" s="19"/>
      <c r="HLI5" s="19"/>
      <c r="HLJ5" s="19"/>
      <c r="HLK5" s="19"/>
      <c r="HLL5" s="19"/>
      <c r="HLM5" s="19"/>
      <c r="HLN5" s="19"/>
      <c r="HLO5" s="19"/>
      <c r="HLP5" s="19"/>
      <c r="HLQ5" s="19"/>
      <c r="HLR5" s="19"/>
      <c r="HLS5" s="19"/>
      <c r="HLT5" s="19"/>
      <c r="HLU5" s="19"/>
      <c r="HLV5" s="19"/>
      <c r="HLW5" s="19"/>
      <c r="HLX5" s="19"/>
      <c r="HLY5" s="19"/>
      <c r="HLZ5" s="19"/>
      <c r="HMA5" s="19"/>
      <c r="HMB5" s="19"/>
      <c r="HMC5" s="19"/>
      <c r="HMD5" s="19"/>
      <c r="HME5" s="19"/>
      <c r="HMF5" s="19"/>
      <c r="HMG5" s="19"/>
      <c r="HMH5" s="19"/>
      <c r="HMI5" s="19"/>
      <c r="HMJ5" s="19"/>
      <c r="HMK5" s="19"/>
      <c r="HML5" s="19"/>
      <c r="HMM5" s="19"/>
      <c r="HMN5" s="19"/>
      <c r="HMO5" s="19"/>
      <c r="HMP5" s="19"/>
      <c r="HMQ5" s="19"/>
      <c r="HMR5" s="19"/>
      <c r="HMS5" s="19"/>
      <c r="HMT5" s="19"/>
      <c r="HMU5" s="19"/>
      <c r="HMV5" s="19"/>
      <c r="HMW5" s="19"/>
      <c r="HMX5" s="19"/>
      <c r="HMY5" s="19"/>
      <c r="HMZ5" s="19"/>
      <c r="HNA5" s="19"/>
      <c r="HNB5" s="19"/>
      <c r="HNC5" s="19"/>
      <c r="HND5" s="19"/>
      <c r="HNE5" s="19"/>
      <c r="HNF5" s="19"/>
      <c r="HNG5" s="19"/>
      <c r="HNH5" s="19"/>
      <c r="HNI5" s="19"/>
      <c r="HNJ5" s="19"/>
      <c r="HNK5" s="19"/>
      <c r="HNL5" s="19"/>
      <c r="HNM5" s="19"/>
      <c r="HNN5" s="19"/>
      <c r="HNO5" s="19"/>
      <c r="HNP5" s="19"/>
      <c r="HNQ5" s="19"/>
      <c r="HNR5" s="19"/>
      <c r="HNS5" s="19"/>
      <c r="HNT5" s="19"/>
      <c r="HNU5" s="19"/>
      <c r="HNV5" s="19"/>
      <c r="HNW5" s="19"/>
      <c r="HNX5" s="19"/>
      <c r="HNY5" s="19"/>
      <c r="HNZ5" s="19"/>
      <c r="HOA5" s="19"/>
      <c r="HOB5" s="19"/>
      <c r="HOC5" s="19"/>
      <c r="HOD5" s="19"/>
      <c r="HOE5" s="19"/>
      <c r="HOF5" s="19"/>
      <c r="HOG5" s="19"/>
      <c r="HOH5" s="19"/>
      <c r="HOI5" s="19"/>
      <c r="HOJ5" s="19"/>
      <c r="HOK5" s="19"/>
      <c r="HOL5" s="19"/>
      <c r="HOM5" s="19"/>
      <c r="HON5" s="19"/>
      <c r="HOO5" s="19"/>
      <c r="HOP5" s="19"/>
      <c r="HOQ5" s="19"/>
      <c r="HOR5" s="19"/>
      <c r="HOS5" s="19"/>
      <c r="HOT5" s="19"/>
      <c r="HOU5" s="19"/>
      <c r="HOV5" s="19"/>
      <c r="HOW5" s="19"/>
      <c r="HOX5" s="19"/>
      <c r="HOY5" s="19"/>
      <c r="HOZ5" s="19"/>
      <c r="HPA5" s="19"/>
      <c r="HPB5" s="19"/>
      <c r="HPC5" s="19"/>
      <c r="HPD5" s="19"/>
      <c r="HPE5" s="19"/>
      <c r="HPF5" s="19"/>
      <c r="HPG5" s="19"/>
      <c r="HPH5" s="19"/>
      <c r="HPI5" s="19"/>
      <c r="HPJ5" s="19"/>
      <c r="HPK5" s="19"/>
      <c r="HPL5" s="19"/>
      <c r="HPM5" s="19"/>
      <c r="HPN5" s="19"/>
      <c r="HPO5" s="19"/>
      <c r="HPP5" s="19"/>
      <c r="HPQ5" s="19"/>
      <c r="HPR5" s="19"/>
      <c r="HPS5" s="19"/>
      <c r="HPT5" s="19"/>
      <c r="HPU5" s="19"/>
      <c r="HPV5" s="19"/>
      <c r="HPW5" s="19"/>
      <c r="HPX5" s="19"/>
      <c r="HPY5" s="19"/>
      <c r="HPZ5" s="19"/>
      <c r="HQA5" s="19"/>
      <c r="HQB5" s="19"/>
      <c r="HQC5" s="19"/>
      <c r="HQD5" s="19"/>
      <c r="HQE5" s="19"/>
      <c r="HQF5" s="19"/>
      <c r="HQG5" s="19"/>
      <c r="HQH5" s="19"/>
      <c r="HQI5" s="19"/>
      <c r="HQJ5" s="19"/>
      <c r="HQK5" s="19"/>
      <c r="HQL5" s="19"/>
      <c r="HQM5" s="19"/>
      <c r="HQN5" s="19"/>
      <c r="HQO5" s="19"/>
      <c r="HQP5" s="19"/>
      <c r="HQQ5" s="19"/>
      <c r="HQR5" s="19"/>
      <c r="HQS5" s="19"/>
      <c r="HQT5" s="19"/>
      <c r="HQU5" s="19"/>
      <c r="HQV5" s="19"/>
      <c r="HQW5" s="19"/>
      <c r="HQX5" s="19"/>
      <c r="HQY5" s="19"/>
      <c r="HQZ5" s="19"/>
      <c r="HRA5" s="19"/>
      <c r="HRB5" s="19"/>
      <c r="HRC5" s="19"/>
      <c r="HRD5" s="19"/>
      <c r="HRE5" s="19"/>
      <c r="HRF5" s="19"/>
      <c r="HRG5" s="19"/>
      <c r="HRH5" s="19"/>
      <c r="HRI5" s="19"/>
      <c r="HRJ5" s="19"/>
      <c r="HRK5" s="19"/>
      <c r="HRL5" s="19"/>
      <c r="HRM5" s="19"/>
      <c r="HRN5" s="19"/>
      <c r="HRO5" s="19"/>
      <c r="HRP5" s="19"/>
      <c r="HRQ5" s="19"/>
      <c r="HRR5" s="19"/>
      <c r="HRS5" s="19"/>
      <c r="HRT5" s="19"/>
      <c r="HRU5" s="19"/>
      <c r="HRV5" s="19"/>
      <c r="HRW5" s="19"/>
      <c r="HRX5" s="19"/>
      <c r="HRY5" s="19"/>
      <c r="HRZ5" s="19"/>
      <c r="HSA5" s="19"/>
      <c r="HSB5" s="19"/>
      <c r="HSC5" s="19"/>
      <c r="HSD5" s="19"/>
      <c r="HSE5" s="19"/>
      <c r="HSF5" s="19"/>
      <c r="HSG5" s="19"/>
      <c r="HSH5" s="19"/>
      <c r="HSI5" s="19"/>
      <c r="HSJ5" s="19"/>
      <c r="HSK5" s="19"/>
      <c r="HSL5" s="19"/>
      <c r="HSM5" s="19"/>
      <c r="HSN5" s="19"/>
      <c r="HSO5" s="19"/>
      <c r="HSP5" s="19"/>
      <c r="HSQ5" s="19"/>
      <c r="HSR5" s="19"/>
      <c r="HSS5" s="19"/>
      <c r="HST5" s="19"/>
      <c r="HSU5" s="19"/>
      <c r="HSV5" s="19"/>
      <c r="HSW5" s="19"/>
      <c r="HSX5" s="19"/>
      <c r="HSY5" s="19"/>
      <c r="HSZ5" s="19"/>
      <c r="HTA5" s="19"/>
      <c r="HTB5" s="19"/>
      <c r="HTC5" s="19"/>
      <c r="HTD5" s="19"/>
      <c r="HTE5" s="19"/>
      <c r="HTF5" s="19"/>
      <c r="HTG5" s="19"/>
      <c r="HTH5" s="19"/>
      <c r="HTI5" s="19"/>
      <c r="HTJ5" s="19"/>
      <c r="HTK5" s="19"/>
      <c r="HTL5" s="19"/>
      <c r="HTM5" s="19"/>
      <c r="HTN5" s="19"/>
      <c r="HTO5" s="19"/>
      <c r="HTP5" s="19"/>
      <c r="HTQ5" s="19"/>
      <c r="HTR5" s="19"/>
      <c r="HTS5" s="19"/>
      <c r="HTT5" s="19"/>
      <c r="HTU5" s="19"/>
      <c r="HTV5" s="19"/>
      <c r="HTW5" s="19"/>
      <c r="HTX5" s="19"/>
      <c r="HTY5" s="19"/>
      <c r="HTZ5" s="19"/>
      <c r="HUA5" s="19"/>
      <c r="HUB5" s="19"/>
      <c r="HUC5" s="19"/>
      <c r="HUD5" s="19"/>
      <c r="HUE5" s="19"/>
      <c r="HUF5" s="19"/>
      <c r="HUG5" s="19"/>
      <c r="HUH5" s="19"/>
      <c r="HUI5" s="19"/>
      <c r="HUJ5" s="19"/>
      <c r="HUK5" s="19"/>
      <c r="HUL5" s="19"/>
      <c r="HUM5" s="19"/>
      <c r="HUN5" s="19"/>
      <c r="HUO5" s="19"/>
      <c r="HUP5" s="19"/>
      <c r="HUQ5" s="19"/>
      <c r="HUR5" s="19"/>
      <c r="HUS5" s="19"/>
      <c r="HUT5" s="19"/>
      <c r="HUU5" s="19"/>
      <c r="HUV5" s="19"/>
      <c r="HUW5" s="19"/>
      <c r="HUX5" s="19"/>
      <c r="HUY5" s="19"/>
      <c r="HUZ5" s="19"/>
      <c r="HVA5" s="19"/>
      <c r="HVB5" s="19"/>
      <c r="HVC5" s="19"/>
      <c r="HVD5" s="19"/>
      <c r="HVE5" s="19"/>
      <c r="HVF5" s="19"/>
      <c r="HVG5" s="19"/>
      <c r="HVH5" s="19"/>
      <c r="HVI5" s="19"/>
      <c r="HVJ5" s="19"/>
      <c r="HVK5" s="19"/>
      <c r="HVL5" s="19"/>
      <c r="HVM5" s="19"/>
      <c r="HVN5" s="19"/>
      <c r="HVO5" s="19"/>
      <c r="HVP5" s="19"/>
      <c r="HVQ5" s="19"/>
      <c r="HVR5" s="19"/>
      <c r="HVS5" s="19"/>
      <c r="HVT5" s="19"/>
      <c r="HVU5" s="19"/>
      <c r="HVV5" s="19"/>
      <c r="HVW5" s="19"/>
      <c r="HVX5" s="19"/>
      <c r="HVY5" s="19"/>
      <c r="HVZ5" s="19"/>
      <c r="HWA5" s="19"/>
      <c r="HWB5" s="19"/>
      <c r="HWC5" s="19"/>
      <c r="HWD5" s="19"/>
      <c r="HWE5" s="19"/>
      <c r="HWF5" s="19"/>
      <c r="HWG5" s="19"/>
      <c r="HWH5" s="19"/>
      <c r="HWI5" s="19"/>
      <c r="HWJ5" s="19"/>
      <c r="HWK5" s="19"/>
      <c r="HWL5" s="19"/>
      <c r="HWM5" s="19"/>
      <c r="HWN5" s="19"/>
      <c r="HWO5" s="19"/>
      <c r="HWP5" s="19"/>
      <c r="HWQ5" s="19"/>
      <c r="HWR5" s="19"/>
      <c r="HWS5" s="19"/>
      <c r="HWT5" s="19"/>
      <c r="HWU5" s="19"/>
      <c r="HWV5" s="19"/>
      <c r="HWW5" s="19"/>
      <c r="HWX5" s="19"/>
      <c r="HWY5" s="19"/>
      <c r="HWZ5" s="19"/>
      <c r="HXA5" s="19"/>
      <c r="HXB5" s="19"/>
      <c r="HXC5" s="19"/>
      <c r="HXD5" s="19"/>
      <c r="HXE5" s="19"/>
      <c r="HXF5" s="19"/>
      <c r="HXG5" s="19"/>
      <c r="HXH5" s="19"/>
      <c r="HXI5" s="19"/>
      <c r="HXJ5" s="19"/>
      <c r="HXK5" s="19"/>
      <c r="HXL5" s="19"/>
      <c r="HXM5" s="19"/>
      <c r="HXN5" s="19"/>
      <c r="HXO5" s="19"/>
      <c r="HXP5" s="19"/>
      <c r="HXQ5" s="19"/>
      <c r="HXR5" s="19"/>
      <c r="HXS5" s="19"/>
      <c r="HXT5" s="19"/>
      <c r="HXU5" s="19"/>
      <c r="HXV5" s="19"/>
      <c r="HXW5" s="19"/>
      <c r="HXX5" s="19"/>
      <c r="HXY5" s="19"/>
      <c r="HXZ5" s="19"/>
      <c r="HYA5" s="19"/>
      <c r="HYB5" s="19"/>
      <c r="HYC5" s="19"/>
      <c r="HYD5" s="19"/>
      <c r="HYE5" s="19"/>
      <c r="HYF5" s="19"/>
      <c r="HYG5" s="19"/>
      <c r="HYH5" s="19"/>
      <c r="HYI5" s="19"/>
      <c r="HYJ5" s="19"/>
      <c r="HYK5" s="19"/>
      <c r="HYL5" s="19"/>
      <c r="HYM5" s="19"/>
      <c r="HYN5" s="19"/>
      <c r="HYO5" s="19"/>
      <c r="HYP5" s="19"/>
      <c r="HYQ5" s="19"/>
      <c r="HYR5" s="19"/>
      <c r="HYS5" s="19"/>
      <c r="HYT5" s="19"/>
      <c r="HYU5" s="19"/>
      <c r="HYV5" s="19"/>
      <c r="HYW5" s="19"/>
      <c r="HYX5" s="19"/>
      <c r="HYY5" s="19"/>
      <c r="HYZ5" s="19"/>
      <c r="HZA5" s="19"/>
      <c r="HZB5" s="19"/>
      <c r="HZC5" s="19"/>
      <c r="HZD5" s="19"/>
      <c r="HZE5" s="19"/>
      <c r="HZF5" s="19"/>
      <c r="HZG5" s="19"/>
      <c r="HZH5" s="19"/>
      <c r="HZI5" s="19"/>
      <c r="HZJ5" s="19"/>
      <c r="HZK5" s="19"/>
      <c r="HZL5" s="19"/>
      <c r="HZM5" s="19"/>
      <c r="HZN5" s="19"/>
      <c r="HZO5" s="19"/>
      <c r="HZP5" s="19"/>
      <c r="HZQ5" s="19"/>
      <c r="HZR5" s="19"/>
      <c r="HZS5" s="19"/>
      <c r="HZT5" s="19"/>
      <c r="HZU5" s="19"/>
      <c r="HZV5" s="19"/>
      <c r="HZW5" s="19"/>
      <c r="HZX5" s="19"/>
      <c r="HZY5" s="19"/>
      <c r="HZZ5" s="19"/>
      <c r="IAA5" s="19"/>
      <c r="IAB5" s="19"/>
      <c r="IAC5" s="19"/>
      <c r="IAD5" s="19"/>
      <c r="IAE5" s="19"/>
      <c r="IAF5" s="19"/>
      <c r="IAG5" s="19"/>
      <c r="IAH5" s="19"/>
      <c r="IAI5" s="19"/>
      <c r="IAJ5" s="19"/>
      <c r="IAK5" s="19"/>
      <c r="IAL5" s="19"/>
      <c r="IAM5" s="19"/>
      <c r="IAN5" s="19"/>
      <c r="IAO5" s="19"/>
      <c r="IAP5" s="19"/>
      <c r="IAQ5" s="19"/>
      <c r="IAR5" s="19"/>
      <c r="IAS5" s="19"/>
      <c r="IAT5" s="19"/>
      <c r="IAU5" s="19"/>
      <c r="IAV5" s="19"/>
      <c r="IAW5" s="19"/>
      <c r="IAX5" s="19"/>
      <c r="IAY5" s="19"/>
      <c r="IAZ5" s="19"/>
      <c r="IBA5" s="19"/>
      <c r="IBB5" s="19"/>
      <c r="IBC5" s="19"/>
      <c r="IBD5" s="19"/>
      <c r="IBE5" s="19"/>
      <c r="IBF5" s="19"/>
      <c r="IBG5" s="19"/>
      <c r="IBH5" s="19"/>
      <c r="IBI5" s="19"/>
      <c r="IBJ5" s="19"/>
      <c r="IBK5" s="19"/>
      <c r="IBL5" s="19"/>
      <c r="IBM5" s="19"/>
      <c r="IBN5" s="19"/>
      <c r="IBO5" s="19"/>
      <c r="IBP5" s="19"/>
      <c r="IBQ5" s="19"/>
      <c r="IBR5" s="19"/>
      <c r="IBS5" s="19"/>
      <c r="IBT5" s="19"/>
      <c r="IBU5" s="19"/>
      <c r="IBV5" s="19"/>
      <c r="IBW5" s="19"/>
      <c r="IBX5" s="19"/>
      <c r="IBY5" s="19"/>
      <c r="IBZ5" s="19"/>
      <c r="ICA5" s="19"/>
      <c r="ICB5" s="19"/>
      <c r="ICC5" s="19"/>
      <c r="ICD5" s="19"/>
      <c r="ICE5" s="19"/>
      <c r="ICF5" s="19"/>
      <c r="ICG5" s="19"/>
      <c r="ICH5" s="19"/>
      <c r="ICI5" s="19"/>
      <c r="ICJ5" s="19"/>
      <c r="ICK5" s="19"/>
      <c r="ICL5" s="19"/>
      <c r="ICM5" s="19"/>
      <c r="ICN5" s="19"/>
      <c r="ICO5" s="19"/>
      <c r="ICP5" s="19"/>
      <c r="ICQ5" s="19"/>
      <c r="ICR5" s="19"/>
      <c r="ICS5" s="19"/>
      <c r="ICT5" s="19"/>
      <c r="ICU5" s="19"/>
      <c r="ICV5" s="19"/>
      <c r="ICW5" s="19"/>
      <c r="ICX5" s="19"/>
      <c r="ICY5" s="19"/>
      <c r="ICZ5" s="19"/>
      <c r="IDA5" s="19"/>
      <c r="IDB5" s="19"/>
      <c r="IDC5" s="19"/>
      <c r="IDD5" s="19"/>
      <c r="IDE5" s="19"/>
      <c r="IDF5" s="19"/>
      <c r="IDG5" s="19"/>
      <c r="IDH5" s="19"/>
      <c r="IDI5" s="19"/>
      <c r="IDJ5" s="19"/>
      <c r="IDK5" s="19"/>
      <c r="IDL5" s="19"/>
      <c r="IDM5" s="19"/>
      <c r="IDN5" s="19"/>
      <c r="IDO5" s="19"/>
      <c r="IDP5" s="19"/>
      <c r="IDQ5" s="19"/>
      <c r="IDR5" s="19"/>
      <c r="IDS5" s="19"/>
      <c r="IDT5" s="19"/>
      <c r="IDU5" s="19"/>
      <c r="IDV5" s="19"/>
      <c r="IDW5" s="19"/>
      <c r="IDX5" s="19"/>
      <c r="IDY5" s="19"/>
      <c r="IDZ5" s="19"/>
      <c r="IEA5" s="19"/>
      <c r="IEB5" s="19"/>
      <c r="IEC5" s="19"/>
      <c r="IED5" s="19"/>
      <c r="IEE5" s="19"/>
      <c r="IEF5" s="19"/>
      <c r="IEG5" s="19"/>
      <c r="IEH5" s="19"/>
      <c r="IEI5" s="19"/>
      <c r="IEJ5" s="19"/>
      <c r="IEK5" s="19"/>
      <c r="IEL5" s="19"/>
      <c r="IEM5" s="19"/>
      <c r="IEN5" s="19"/>
      <c r="IEO5" s="19"/>
      <c r="IEP5" s="19"/>
      <c r="IEQ5" s="19"/>
      <c r="IER5" s="19"/>
      <c r="IES5" s="19"/>
      <c r="IET5" s="19"/>
      <c r="IEU5" s="19"/>
      <c r="IEV5" s="19"/>
      <c r="IEW5" s="19"/>
      <c r="IEX5" s="19"/>
      <c r="IEY5" s="19"/>
      <c r="IEZ5" s="19"/>
      <c r="IFA5" s="19"/>
      <c r="IFB5" s="19"/>
      <c r="IFC5" s="19"/>
      <c r="IFD5" s="19"/>
      <c r="IFE5" s="19"/>
      <c r="IFF5" s="19"/>
      <c r="IFG5" s="19"/>
      <c r="IFH5" s="19"/>
      <c r="IFI5" s="19"/>
      <c r="IFJ5" s="19"/>
      <c r="IFK5" s="19"/>
      <c r="IFL5" s="19"/>
      <c r="IFM5" s="19"/>
      <c r="IFN5" s="19"/>
      <c r="IFO5" s="19"/>
      <c r="IFP5" s="19"/>
      <c r="IFQ5" s="19"/>
      <c r="IFR5" s="19"/>
      <c r="IFS5" s="19"/>
      <c r="IFT5" s="19"/>
      <c r="IFU5" s="19"/>
      <c r="IFV5" s="19"/>
      <c r="IFW5" s="19"/>
      <c r="IFX5" s="19"/>
      <c r="IFY5" s="19"/>
      <c r="IFZ5" s="19"/>
      <c r="IGA5" s="19"/>
      <c r="IGB5" s="19"/>
      <c r="IGC5" s="19"/>
      <c r="IGD5" s="19"/>
      <c r="IGE5" s="19"/>
      <c r="IGF5" s="19"/>
      <c r="IGG5" s="19"/>
      <c r="IGH5" s="19"/>
      <c r="IGI5" s="19"/>
      <c r="IGJ5" s="19"/>
      <c r="IGK5" s="19"/>
      <c r="IGL5" s="19"/>
      <c r="IGM5" s="19"/>
      <c r="IGN5" s="19"/>
      <c r="IGO5" s="19"/>
      <c r="IGP5" s="19"/>
      <c r="IGQ5" s="19"/>
      <c r="IGR5" s="19"/>
      <c r="IGS5" s="19"/>
      <c r="IGT5" s="19"/>
      <c r="IGU5" s="19"/>
      <c r="IGV5" s="19"/>
      <c r="IGW5" s="19"/>
      <c r="IGX5" s="19"/>
      <c r="IGY5" s="19"/>
      <c r="IGZ5" s="19"/>
      <c r="IHA5" s="19"/>
      <c r="IHB5" s="19"/>
      <c r="IHC5" s="19"/>
      <c r="IHD5" s="19"/>
      <c r="IHE5" s="19"/>
      <c r="IHF5" s="19"/>
      <c r="IHG5" s="19"/>
      <c r="IHH5" s="19"/>
      <c r="IHI5" s="19"/>
      <c r="IHJ5" s="19"/>
      <c r="IHK5" s="19"/>
      <c r="IHL5" s="19"/>
      <c r="IHM5" s="19"/>
      <c r="IHN5" s="19"/>
      <c r="IHO5" s="19"/>
      <c r="IHP5" s="19"/>
      <c r="IHQ5" s="19"/>
      <c r="IHR5" s="19"/>
      <c r="IHS5" s="19"/>
      <c r="IHT5" s="19"/>
      <c r="IHU5" s="19"/>
      <c r="IHV5" s="19"/>
      <c r="IHW5" s="19"/>
      <c r="IHX5" s="19"/>
      <c r="IHY5" s="19"/>
      <c r="IHZ5" s="19"/>
      <c r="IIA5" s="19"/>
      <c r="IIB5" s="19"/>
      <c r="IIC5" s="19"/>
      <c r="IID5" s="19"/>
      <c r="IIE5" s="19"/>
      <c r="IIF5" s="19"/>
      <c r="IIG5" s="19"/>
      <c r="IIH5" s="19"/>
      <c r="III5" s="19"/>
      <c r="IIJ5" s="19"/>
      <c r="IIK5" s="19"/>
      <c r="IIL5" s="19"/>
      <c r="IIM5" s="19"/>
      <c r="IIN5" s="19"/>
      <c r="IIO5" s="19"/>
      <c r="IIP5" s="19"/>
      <c r="IIQ5" s="19"/>
      <c r="IIR5" s="19"/>
      <c r="IIS5" s="19"/>
      <c r="IIT5" s="19"/>
      <c r="IIU5" s="19"/>
      <c r="IIV5" s="19"/>
      <c r="IIW5" s="19"/>
      <c r="IIX5" s="19"/>
      <c r="IIY5" s="19"/>
      <c r="IIZ5" s="19"/>
      <c r="IJA5" s="19"/>
      <c r="IJB5" s="19"/>
      <c r="IJC5" s="19"/>
      <c r="IJD5" s="19"/>
      <c r="IJE5" s="19"/>
      <c r="IJF5" s="19"/>
      <c r="IJG5" s="19"/>
      <c r="IJH5" s="19"/>
      <c r="IJI5" s="19"/>
      <c r="IJJ5" s="19"/>
      <c r="IJK5" s="19"/>
      <c r="IJL5" s="19"/>
      <c r="IJM5" s="19"/>
      <c r="IJN5" s="19"/>
      <c r="IJO5" s="19"/>
      <c r="IJP5" s="19"/>
      <c r="IJQ5" s="19"/>
      <c r="IJR5" s="19"/>
      <c r="IJS5" s="19"/>
      <c r="IJT5" s="19"/>
      <c r="IJU5" s="19"/>
      <c r="IJV5" s="19"/>
      <c r="IJW5" s="19"/>
      <c r="IJX5" s="19"/>
      <c r="IJY5" s="19"/>
      <c r="IJZ5" s="19"/>
      <c r="IKA5" s="19"/>
      <c r="IKB5" s="19"/>
      <c r="IKC5" s="19"/>
      <c r="IKD5" s="19"/>
      <c r="IKE5" s="19"/>
      <c r="IKF5" s="19"/>
      <c r="IKG5" s="19"/>
      <c r="IKH5" s="19"/>
      <c r="IKI5" s="19"/>
      <c r="IKJ5" s="19"/>
      <c r="IKK5" s="19"/>
      <c r="IKL5" s="19"/>
      <c r="IKM5" s="19"/>
      <c r="IKN5" s="19"/>
      <c r="IKO5" s="19"/>
      <c r="IKP5" s="19"/>
      <c r="IKQ5" s="19"/>
      <c r="IKR5" s="19"/>
      <c r="IKS5" s="19"/>
      <c r="IKT5" s="19"/>
      <c r="IKU5" s="19"/>
      <c r="IKV5" s="19"/>
      <c r="IKW5" s="19"/>
      <c r="IKX5" s="19"/>
      <c r="IKY5" s="19"/>
      <c r="IKZ5" s="19"/>
      <c r="ILA5" s="19"/>
      <c r="ILB5" s="19"/>
      <c r="ILC5" s="19"/>
      <c r="ILD5" s="19"/>
      <c r="ILE5" s="19"/>
      <c r="ILF5" s="19"/>
      <c r="ILG5" s="19"/>
      <c r="ILH5" s="19"/>
      <c r="ILI5" s="19"/>
      <c r="ILJ5" s="19"/>
      <c r="ILK5" s="19"/>
      <c r="ILL5" s="19"/>
      <c r="ILM5" s="19"/>
      <c r="ILN5" s="19"/>
      <c r="ILO5" s="19"/>
      <c r="ILP5" s="19"/>
      <c r="ILQ5" s="19"/>
      <c r="ILR5" s="19"/>
      <c r="ILS5" s="19"/>
      <c r="ILT5" s="19"/>
      <c r="ILU5" s="19"/>
      <c r="ILV5" s="19"/>
      <c r="ILW5" s="19"/>
      <c r="ILX5" s="19"/>
      <c r="ILY5" s="19"/>
      <c r="ILZ5" s="19"/>
      <c r="IMA5" s="19"/>
      <c r="IMB5" s="19"/>
      <c r="IMC5" s="19"/>
      <c r="IMD5" s="19"/>
      <c r="IME5" s="19"/>
      <c r="IMF5" s="19"/>
      <c r="IMG5" s="19"/>
      <c r="IMH5" s="19"/>
      <c r="IMI5" s="19"/>
      <c r="IMJ5" s="19"/>
      <c r="IMK5" s="19"/>
      <c r="IML5" s="19"/>
      <c r="IMM5" s="19"/>
      <c r="IMN5" s="19"/>
      <c r="IMO5" s="19"/>
      <c r="IMP5" s="19"/>
      <c r="IMQ5" s="19"/>
      <c r="IMR5" s="19"/>
      <c r="IMS5" s="19"/>
      <c r="IMT5" s="19"/>
      <c r="IMU5" s="19"/>
      <c r="IMV5" s="19"/>
      <c r="IMW5" s="19"/>
      <c r="IMX5" s="19"/>
      <c r="IMY5" s="19"/>
      <c r="IMZ5" s="19"/>
      <c r="INA5" s="19"/>
      <c r="INB5" s="19"/>
      <c r="INC5" s="19"/>
      <c r="IND5" s="19"/>
      <c r="INE5" s="19"/>
      <c r="INF5" s="19"/>
      <c r="ING5" s="19"/>
      <c r="INH5" s="19"/>
      <c r="INI5" s="19"/>
      <c r="INJ5" s="19"/>
      <c r="INK5" s="19"/>
      <c r="INL5" s="19"/>
      <c r="INM5" s="19"/>
      <c r="INN5" s="19"/>
      <c r="INO5" s="19"/>
      <c r="INP5" s="19"/>
      <c r="INQ5" s="19"/>
      <c r="INR5" s="19"/>
      <c r="INS5" s="19"/>
      <c r="INT5" s="19"/>
      <c r="INU5" s="19"/>
      <c r="INV5" s="19"/>
      <c r="INW5" s="19"/>
      <c r="INX5" s="19"/>
      <c r="INY5" s="19"/>
      <c r="INZ5" s="19"/>
      <c r="IOA5" s="19"/>
      <c r="IOB5" s="19"/>
      <c r="IOC5" s="19"/>
      <c r="IOD5" s="19"/>
      <c r="IOE5" s="19"/>
      <c r="IOF5" s="19"/>
      <c r="IOG5" s="19"/>
      <c r="IOH5" s="19"/>
      <c r="IOI5" s="19"/>
      <c r="IOJ5" s="19"/>
      <c r="IOK5" s="19"/>
      <c r="IOL5" s="19"/>
      <c r="IOM5" s="19"/>
      <c r="ION5" s="19"/>
      <c r="IOO5" s="19"/>
      <c r="IOP5" s="19"/>
      <c r="IOQ5" s="19"/>
      <c r="IOR5" s="19"/>
      <c r="IOS5" s="19"/>
      <c r="IOT5" s="19"/>
      <c r="IOU5" s="19"/>
      <c r="IOV5" s="19"/>
      <c r="IOW5" s="19"/>
      <c r="IOX5" s="19"/>
      <c r="IOY5" s="19"/>
      <c r="IOZ5" s="19"/>
      <c r="IPA5" s="19"/>
      <c r="IPB5" s="19"/>
      <c r="IPC5" s="19"/>
      <c r="IPD5" s="19"/>
      <c r="IPE5" s="19"/>
      <c r="IPF5" s="19"/>
      <c r="IPG5" s="19"/>
      <c r="IPH5" s="19"/>
      <c r="IPI5" s="19"/>
      <c r="IPJ5" s="19"/>
      <c r="IPK5" s="19"/>
      <c r="IPL5" s="19"/>
      <c r="IPM5" s="19"/>
      <c r="IPN5" s="19"/>
      <c r="IPO5" s="19"/>
      <c r="IPP5" s="19"/>
      <c r="IPQ5" s="19"/>
      <c r="IPR5" s="19"/>
      <c r="IPS5" s="19"/>
      <c r="IPT5" s="19"/>
      <c r="IPU5" s="19"/>
      <c r="IPV5" s="19"/>
      <c r="IPW5" s="19"/>
      <c r="IPX5" s="19"/>
      <c r="IPY5" s="19"/>
      <c r="IPZ5" s="19"/>
      <c r="IQA5" s="19"/>
      <c r="IQB5" s="19"/>
      <c r="IQC5" s="19"/>
      <c r="IQD5" s="19"/>
      <c r="IQE5" s="19"/>
      <c r="IQF5" s="19"/>
      <c r="IQG5" s="19"/>
      <c r="IQH5" s="19"/>
      <c r="IQI5" s="19"/>
      <c r="IQJ5" s="19"/>
      <c r="IQK5" s="19"/>
      <c r="IQL5" s="19"/>
      <c r="IQM5" s="19"/>
      <c r="IQN5" s="19"/>
      <c r="IQO5" s="19"/>
      <c r="IQP5" s="19"/>
      <c r="IQQ5" s="19"/>
      <c r="IQR5" s="19"/>
      <c r="IQS5" s="19"/>
      <c r="IQT5" s="19"/>
      <c r="IQU5" s="19"/>
      <c r="IQV5" s="19"/>
      <c r="IQW5" s="19"/>
      <c r="IQX5" s="19"/>
      <c r="IQY5" s="19"/>
      <c r="IQZ5" s="19"/>
      <c r="IRA5" s="19"/>
      <c r="IRB5" s="19"/>
      <c r="IRC5" s="19"/>
      <c r="IRD5" s="19"/>
      <c r="IRE5" s="19"/>
      <c r="IRF5" s="19"/>
      <c r="IRG5" s="19"/>
      <c r="IRH5" s="19"/>
      <c r="IRI5" s="19"/>
      <c r="IRJ5" s="19"/>
      <c r="IRK5" s="19"/>
      <c r="IRL5" s="19"/>
      <c r="IRM5" s="19"/>
      <c r="IRN5" s="19"/>
      <c r="IRO5" s="19"/>
      <c r="IRP5" s="19"/>
      <c r="IRQ5" s="19"/>
      <c r="IRR5" s="19"/>
      <c r="IRS5" s="19"/>
      <c r="IRT5" s="19"/>
      <c r="IRU5" s="19"/>
      <c r="IRV5" s="19"/>
      <c r="IRW5" s="19"/>
      <c r="IRX5" s="19"/>
      <c r="IRY5" s="19"/>
      <c r="IRZ5" s="19"/>
      <c r="ISA5" s="19"/>
      <c r="ISB5" s="19"/>
      <c r="ISC5" s="19"/>
      <c r="ISD5" s="19"/>
      <c r="ISE5" s="19"/>
      <c r="ISF5" s="19"/>
      <c r="ISG5" s="19"/>
      <c r="ISH5" s="19"/>
      <c r="ISI5" s="19"/>
      <c r="ISJ5" s="19"/>
      <c r="ISK5" s="19"/>
      <c r="ISL5" s="19"/>
      <c r="ISM5" s="19"/>
      <c r="ISN5" s="19"/>
      <c r="ISO5" s="19"/>
      <c r="ISP5" s="19"/>
      <c r="ISQ5" s="19"/>
      <c r="ISR5" s="19"/>
      <c r="ISS5" s="19"/>
      <c r="IST5" s="19"/>
      <c r="ISU5" s="19"/>
      <c r="ISV5" s="19"/>
      <c r="ISW5" s="19"/>
      <c r="ISX5" s="19"/>
      <c r="ISY5" s="19"/>
      <c r="ISZ5" s="19"/>
      <c r="ITA5" s="19"/>
      <c r="ITB5" s="19"/>
      <c r="ITC5" s="19"/>
      <c r="ITD5" s="19"/>
      <c r="ITE5" s="19"/>
      <c r="ITF5" s="19"/>
      <c r="ITG5" s="19"/>
      <c r="ITH5" s="19"/>
      <c r="ITI5" s="19"/>
      <c r="ITJ5" s="19"/>
      <c r="ITK5" s="19"/>
      <c r="ITL5" s="19"/>
      <c r="ITM5" s="19"/>
      <c r="ITN5" s="19"/>
      <c r="ITO5" s="19"/>
      <c r="ITP5" s="19"/>
      <c r="ITQ5" s="19"/>
      <c r="ITR5" s="19"/>
      <c r="ITS5" s="19"/>
      <c r="ITT5" s="19"/>
      <c r="ITU5" s="19"/>
      <c r="ITV5" s="19"/>
      <c r="ITW5" s="19"/>
      <c r="ITX5" s="19"/>
      <c r="ITY5" s="19"/>
      <c r="ITZ5" s="19"/>
      <c r="IUA5" s="19"/>
      <c r="IUB5" s="19"/>
      <c r="IUC5" s="19"/>
      <c r="IUD5" s="19"/>
      <c r="IUE5" s="19"/>
      <c r="IUF5" s="19"/>
      <c r="IUG5" s="19"/>
      <c r="IUH5" s="19"/>
      <c r="IUI5" s="19"/>
      <c r="IUJ5" s="19"/>
      <c r="IUK5" s="19"/>
      <c r="IUL5" s="19"/>
      <c r="IUM5" s="19"/>
      <c r="IUN5" s="19"/>
      <c r="IUO5" s="19"/>
      <c r="IUP5" s="19"/>
      <c r="IUQ5" s="19"/>
      <c r="IUR5" s="19"/>
      <c r="IUS5" s="19"/>
      <c r="IUT5" s="19"/>
      <c r="IUU5" s="19"/>
      <c r="IUV5" s="19"/>
      <c r="IUW5" s="19"/>
      <c r="IUX5" s="19"/>
      <c r="IUY5" s="19"/>
      <c r="IUZ5" s="19"/>
      <c r="IVA5" s="19"/>
      <c r="IVB5" s="19"/>
      <c r="IVC5" s="19"/>
      <c r="IVD5" s="19"/>
      <c r="IVE5" s="19"/>
      <c r="IVF5" s="19"/>
      <c r="IVG5" s="19"/>
      <c r="IVH5" s="19"/>
      <c r="IVI5" s="19"/>
      <c r="IVJ5" s="19"/>
      <c r="IVK5" s="19"/>
      <c r="IVL5" s="19"/>
      <c r="IVM5" s="19"/>
      <c r="IVN5" s="19"/>
      <c r="IVO5" s="19"/>
      <c r="IVP5" s="19"/>
      <c r="IVQ5" s="19"/>
      <c r="IVR5" s="19"/>
      <c r="IVS5" s="19"/>
      <c r="IVT5" s="19"/>
      <c r="IVU5" s="19"/>
      <c r="IVV5" s="19"/>
      <c r="IVW5" s="19"/>
      <c r="IVX5" s="19"/>
      <c r="IVY5" s="19"/>
      <c r="IVZ5" s="19"/>
      <c r="IWA5" s="19"/>
      <c r="IWB5" s="19"/>
      <c r="IWC5" s="19"/>
      <c r="IWD5" s="19"/>
      <c r="IWE5" s="19"/>
      <c r="IWF5" s="19"/>
      <c r="IWG5" s="19"/>
      <c r="IWH5" s="19"/>
      <c r="IWI5" s="19"/>
      <c r="IWJ5" s="19"/>
      <c r="IWK5" s="19"/>
      <c r="IWL5" s="19"/>
      <c r="IWM5" s="19"/>
      <c r="IWN5" s="19"/>
      <c r="IWO5" s="19"/>
      <c r="IWP5" s="19"/>
      <c r="IWQ5" s="19"/>
      <c r="IWR5" s="19"/>
      <c r="IWS5" s="19"/>
      <c r="IWT5" s="19"/>
      <c r="IWU5" s="19"/>
      <c r="IWV5" s="19"/>
      <c r="IWW5" s="19"/>
      <c r="IWX5" s="19"/>
      <c r="IWY5" s="19"/>
      <c r="IWZ5" s="19"/>
      <c r="IXA5" s="19"/>
      <c r="IXB5" s="19"/>
      <c r="IXC5" s="19"/>
      <c r="IXD5" s="19"/>
      <c r="IXE5" s="19"/>
      <c r="IXF5" s="19"/>
      <c r="IXG5" s="19"/>
      <c r="IXH5" s="19"/>
      <c r="IXI5" s="19"/>
      <c r="IXJ5" s="19"/>
      <c r="IXK5" s="19"/>
      <c r="IXL5" s="19"/>
      <c r="IXM5" s="19"/>
      <c r="IXN5" s="19"/>
      <c r="IXO5" s="19"/>
      <c r="IXP5" s="19"/>
      <c r="IXQ5" s="19"/>
      <c r="IXR5" s="19"/>
      <c r="IXS5" s="19"/>
      <c r="IXT5" s="19"/>
      <c r="IXU5" s="19"/>
      <c r="IXV5" s="19"/>
      <c r="IXW5" s="19"/>
      <c r="IXX5" s="19"/>
      <c r="IXY5" s="19"/>
      <c r="IXZ5" s="19"/>
      <c r="IYA5" s="19"/>
      <c r="IYB5" s="19"/>
      <c r="IYC5" s="19"/>
      <c r="IYD5" s="19"/>
      <c r="IYE5" s="19"/>
      <c r="IYF5" s="19"/>
      <c r="IYG5" s="19"/>
      <c r="IYH5" s="19"/>
      <c r="IYI5" s="19"/>
      <c r="IYJ5" s="19"/>
      <c r="IYK5" s="19"/>
      <c r="IYL5" s="19"/>
      <c r="IYM5" s="19"/>
      <c r="IYN5" s="19"/>
      <c r="IYO5" s="19"/>
      <c r="IYP5" s="19"/>
      <c r="IYQ5" s="19"/>
      <c r="IYR5" s="19"/>
      <c r="IYS5" s="19"/>
      <c r="IYT5" s="19"/>
      <c r="IYU5" s="19"/>
      <c r="IYV5" s="19"/>
      <c r="IYW5" s="19"/>
      <c r="IYX5" s="19"/>
      <c r="IYY5" s="19"/>
      <c r="IYZ5" s="19"/>
      <c r="IZA5" s="19"/>
      <c r="IZB5" s="19"/>
      <c r="IZC5" s="19"/>
      <c r="IZD5" s="19"/>
      <c r="IZE5" s="19"/>
      <c r="IZF5" s="19"/>
      <c r="IZG5" s="19"/>
      <c r="IZH5" s="19"/>
      <c r="IZI5" s="19"/>
      <c r="IZJ5" s="19"/>
      <c r="IZK5" s="19"/>
      <c r="IZL5" s="19"/>
      <c r="IZM5" s="19"/>
      <c r="IZN5" s="19"/>
      <c r="IZO5" s="19"/>
      <c r="IZP5" s="19"/>
      <c r="IZQ5" s="19"/>
      <c r="IZR5" s="19"/>
      <c r="IZS5" s="19"/>
      <c r="IZT5" s="19"/>
      <c r="IZU5" s="19"/>
      <c r="IZV5" s="19"/>
      <c r="IZW5" s="19"/>
      <c r="IZX5" s="19"/>
      <c r="IZY5" s="19"/>
      <c r="IZZ5" s="19"/>
      <c r="JAA5" s="19"/>
      <c r="JAB5" s="19"/>
      <c r="JAC5" s="19"/>
      <c r="JAD5" s="19"/>
      <c r="JAE5" s="19"/>
      <c r="JAF5" s="19"/>
      <c r="JAG5" s="19"/>
      <c r="JAH5" s="19"/>
      <c r="JAI5" s="19"/>
      <c r="JAJ5" s="19"/>
      <c r="JAK5" s="19"/>
      <c r="JAL5" s="19"/>
      <c r="JAM5" s="19"/>
      <c r="JAN5" s="19"/>
      <c r="JAO5" s="19"/>
      <c r="JAP5" s="19"/>
      <c r="JAQ5" s="19"/>
      <c r="JAR5" s="19"/>
      <c r="JAS5" s="19"/>
      <c r="JAT5" s="19"/>
      <c r="JAU5" s="19"/>
      <c r="JAV5" s="19"/>
      <c r="JAW5" s="19"/>
      <c r="JAX5" s="19"/>
      <c r="JAY5" s="19"/>
      <c r="JAZ5" s="19"/>
      <c r="JBA5" s="19"/>
      <c r="JBB5" s="19"/>
      <c r="JBC5" s="19"/>
      <c r="JBD5" s="19"/>
      <c r="JBE5" s="19"/>
      <c r="JBF5" s="19"/>
      <c r="JBG5" s="19"/>
      <c r="JBH5" s="19"/>
      <c r="JBI5" s="19"/>
      <c r="JBJ5" s="19"/>
      <c r="JBK5" s="19"/>
      <c r="JBL5" s="19"/>
      <c r="JBM5" s="19"/>
      <c r="JBN5" s="19"/>
      <c r="JBO5" s="19"/>
      <c r="JBP5" s="19"/>
      <c r="JBQ5" s="19"/>
      <c r="JBR5" s="19"/>
      <c r="JBS5" s="19"/>
      <c r="JBT5" s="19"/>
      <c r="JBU5" s="19"/>
      <c r="JBV5" s="19"/>
      <c r="JBW5" s="19"/>
      <c r="JBX5" s="19"/>
      <c r="JBY5" s="19"/>
      <c r="JBZ5" s="19"/>
      <c r="JCA5" s="19"/>
      <c r="JCB5" s="19"/>
      <c r="JCC5" s="19"/>
      <c r="JCD5" s="19"/>
      <c r="JCE5" s="19"/>
      <c r="JCF5" s="19"/>
      <c r="JCG5" s="19"/>
      <c r="JCH5" s="19"/>
      <c r="JCI5" s="19"/>
      <c r="JCJ5" s="19"/>
      <c r="JCK5" s="19"/>
      <c r="JCL5" s="19"/>
      <c r="JCM5" s="19"/>
      <c r="JCN5" s="19"/>
      <c r="JCO5" s="19"/>
      <c r="JCP5" s="19"/>
      <c r="JCQ5" s="19"/>
      <c r="JCR5" s="19"/>
      <c r="JCS5" s="19"/>
      <c r="JCT5" s="19"/>
      <c r="JCU5" s="19"/>
      <c r="JCV5" s="19"/>
      <c r="JCW5" s="19"/>
      <c r="JCX5" s="19"/>
      <c r="JCY5" s="19"/>
      <c r="JCZ5" s="19"/>
      <c r="JDA5" s="19"/>
      <c r="JDB5" s="19"/>
      <c r="JDC5" s="19"/>
      <c r="JDD5" s="19"/>
      <c r="JDE5" s="19"/>
      <c r="JDF5" s="19"/>
      <c r="JDG5" s="19"/>
      <c r="JDH5" s="19"/>
      <c r="JDI5" s="19"/>
      <c r="JDJ5" s="19"/>
      <c r="JDK5" s="19"/>
      <c r="JDL5" s="19"/>
      <c r="JDM5" s="19"/>
      <c r="JDN5" s="19"/>
      <c r="JDO5" s="19"/>
      <c r="JDP5" s="19"/>
      <c r="JDQ5" s="19"/>
      <c r="JDR5" s="19"/>
      <c r="JDS5" s="19"/>
      <c r="JDT5" s="19"/>
      <c r="JDU5" s="19"/>
      <c r="JDV5" s="19"/>
      <c r="JDW5" s="19"/>
      <c r="JDX5" s="19"/>
      <c r="JDY5" s="19"/>
      <c r="JDZ5" s="19"/>
      <c r="JEA5" s="19"/>
      <c r="JEB5" s="19"/>
      <c r="JEC5" s="19"/>
      <c r="JED5" s="19"/>
      <c r="JEE5" s="19"/>
      <c r="JEF5" s="19"/>
      <c r="JEG5" s="19"/>
      <c r="JEH5" s="19"/>
      <c r="JEI5" s="19"/>
      <c r="JEJ5" s="19"/>
      <c r="JEK5" s="19"/>
      <c r="JEL5" s="19"/>
      <c r="JEM5" s="19"/>
      <c r="JEN5" s="19"/>
      <c r="JEO5" s="19"/>
      <c r="JEP5" s="19"/>
      <c r="JEQ5" s="19"/>
      <c r="JER5" s="19"/>
      <c r="JES5" s="19"/>
      <c r="JET5" s="19"/>
      <c r="JEU5" s="19"/>
      <c r="JEV5" s="19"/>
      <c r="JEW5" s="19"/>
      <c r="JEX5" s="19"/>
      <c r="JEY5" s="19"/>
      <c r="JEZ5" s="19"/>
      <c r="JFA5" s="19"/>
      <c r="JFB5" s="19"/>
      <c r="JFC5" s="19"/>
      <c r="JFD5" s="19"/>
      <c r="JFE5" s="19"/>
      <c r="JFF5" s="19"/>
      <c r="JFG5" s="19"/>
      <c r="JFH5" s="19"/>
      <c r="JFI5" s="19"/>
      <c r="JFJ5" s="19"/>
      <c r="JFK5" s="19"/>
      <c r="JFL5" s="19"/>
      <c r="JFM5" s="19"/>
      <c r="JFN5" s="19"/>
      <c r="JFO5" s="19"/>
      <c r="JFP5" s="19"/>
      <c r="JFQ5" s="19"/>
      <c r="JFR5" s="19"/>
      <c r="JFS5" s="19"/>
      <c r="JFT5" s="19"/>
      <c r="JFU5" s="19"/>
      <c r="JFV5" s="19"/>
      <c r="JFW5" s="19"/>
      <c r="JFX5" s="19"/>
      <c r="JFY5" s="19"/>
      <c r="JFZ5" s="19"/>
      <c r="JGA5" s="19"/>
      <c r="JGB5" s="19"/>
      <c r="JGC5" s="19"/>
      <c r="JGD5" s="19"/>
      <c r="JGE5" s="19"/>
      <c r="JGF5" s="19"/>
      <c r="JGG5" s="19"/>
      <c r="JGH5" s="19"/>
      <c r="JGI5" s="19"/>
      <c r="JGJ5" s="19"/>
      <c r="JGK5" s="19"/>
      <c r="JGL5" s="19"/>
      <c r="JGM5" s="19"/>
      <c r="JGN5" s="19"/>
      <c r="JGO5" s="19"/>
      <c r="JGP5" s="19"/>
      <c r="JGQ5" s="19"/>
      <c r="JGR5" s="19"/>
      <c r="JGS5" s="19"/>
      <c r="JGT5" s="19"/>
      <c r="JGU5" s="19"/>
      <c r="JGV5" s="19"/>
      <c r="JGW5" s="19"/>
      <c r="JGX5" s="19"/>
      <c r="JGY5" s="19"/>
      <c r="JGZ5" s="19"/>
      <c r="JHA5" s="19"/>
      <c r="JHB5" s="19"/>
      <c r="JHC5" s="19"/>
      <c r="JHD5" s="19"/>
      <c r="JHE5" s="19"/>
      <c r="JHF5" s="19"/>
      <c r="JHG5" s="19"/>
      <c r="JHH5" s="19"/>
      <c r="JHI5" s="19"/>
      <c r="JHJ5" s="19"/>
      <c r="JHK5" s="19"/>
      <c r="JHL5" s="19"/>
      <c r="JHM5" s="19"/>
      <c r="JHN5" s="19"/>
      <c r="JHO5" s="19"/>
      <c r="JHP5" s="19"/>
      <c r="JHQ5" s="19"/>
      <c r="JHR5" s="19"/>
      <c r="JHS5" s="19"/>
      <c r="JHT5" s="19"/>
      <c r="JHU5" s="19"/>
      <c r="JHV5" s="19"/>
      <c r="JHW5" s="19"/>
      <c r="JHX5" s="19"/>
      <c r="JHY5" s="19"/>
      <c r="JHZ5" s="19"/>
      <c r="JIA5" s="19"/>
      <c r="JIB5" s="19"/>
      <c r="JIC5" s="19"/>
      <c r="JID5" s="19"/>
      <c r="JIE5" s="19"/>
      <c r="JIF5" s="19"/>
      <c r="JIG5" s="19"/>
      <c r="JIH5" s="19"/>
      <c r="JII5" s="19"/>
      <c r="JIJ5" s="19"/>
      <c r="JIK5" s="19"/>
      <c r="JIL5" s="19"/>
      <c r="JIM5" s="19"/>
      <c r="JIN5" s="19"/>
      <c r="JIO5" s="19"/>
      <c r="JIP5" s="19"/>
      <c r="JIQ5" s="19"/>
      <c r="JIR5" s="19"/>
      <c r="JIS5" s="19"/>
      <c r="JIT5" s="19"/>
      <c r="JIU5" s="19"/>
      <c r="JIV5" s="19"/>
      <c r="JIW5" s="19"/>
      <c r="JIX5" s="19"/>
      <c r="JIY5" s="19"/>
      <c r="JIZ5" s="19"/>
      <c r="JJA5" s="19"/>
      <c r="JJB5" s="19"/>
      <c r="JJC5" s="19"/>
      <c r="JJD5" s="19"/>
      <c r="JJE5" s="19"/>
      <c r="JJF5" s="19"/>
      <c r="JJG5" s="19"/>
      <c r="JJH5" s="19"/>
      <c r="JJI5" s="19"/>
      <c r="JJJ5" s="19"/>
      <c r="JJK5" s="19"/>
      <c r="JJL5" s="19"/>
      <c r="JJM5" s="19"/>
      <c r="JJN5" s="19"/>
      <c r="JJO5" s="19"/>
      <c r="JJP5" s="19"/>
      <c r="JJQ5" s="19"/>
      <c r="JJR5" s="19"/>
      <c r="JJS5" s="19"/>
      <c r="JJT5" s="19"/>
      <c r="JJU5" s="19"/>
      <c r="JJV5" s="19"/>
      <c r="JJW5" s="19"/>
      <c r="JJX5" s="19"/>
      <c r="JJY5" s="19"/>
      <c r="JJZ5" s="19"/>
      <c r="JKA5" s="19"/>
      <c r="JKB5" s="19"/>
      <c r="JKC5" s="19"/>
      <c r="JKD5" s="19"/>
      <c r="JKE5" s="19"/>
      <c r="JKF5" s="19"/>
      <c r="JKG5" s="19"/>
      <c r="JKH5" s="19"/>
      <c r="JKI5" s="19"/>
      <c r="JKJ5" s="19"/>
      <c r="JKK5" s="19"/>
      <c r="JKL5" s="19"/>
      <c r="JKM5" s="19"/>
      <c r="JKN5" s="19"/>
      <c r="JKO5" s="19"/>
      <c r="JKP5" s="19"/>
      <c r="JKQ5" s="19"/>
      <c r="JKR5" s="19"/>
      <c r="JKS5" s="19"/>
      <c r="JKT5" s="19"/>
      <c r="JKU5" s="19"/>
      <c r="JKV5" s="19"/>
      <c r="JKW5" s="19"/>
      <c r="JKX5" s="19"/>
      <c r="JKY5" s="19"/>
      <c r="JKZ5" s="19"/>
      <c r="JLA5" s="19"/>
      <c r="JLB5" s="19"/>
      <c r="JLC5" s="19"/>
      <c r="JLD5" s="19"/>
      <c r="JLE5" s="19"/>
      <c r="JLF5" s="19"/>
      <c r="JLG5" s="19"/>
      <c r="JLH5" s="19"/>
      <c r="JLI5" s="19"/>
      <c r="JLJ5" s="19"/>
      <c r="JLK5" s="19"/>
      <c r="JLL5" s="19"/>
      <c r="JLM5" s="19"/>
      <c r="JLN5" s="19"/>
      <c r="JLO5" s="19"/>
      <c r="JLP5" s="19"/>
      <c r="JLQ5" s="19"/>
      <c r="JLR5" s="19"/>
      <c r="JLS5" s="19"/>
      <c r="JLT5" s="19"/>
      <c r="JLU5" s="19"/>
      <c r="JLV5" s="19"/>
      <c r="JLW5" s="19"/>
      <c r="JLX5" s="19"/>
      <c r="JLY5" s="19"/>
      <c r="JLZ5" s="19"/>
      <c r="JMA5" s="19"/>
      <c r="JMB5" s="19"/>
      <c r="JMC5" s="19"/>
      <c r="JMD5" s="19"/>
      <c r="JME5" s="19"/>
      <c r="JMF5" s="19"/>
      <c r="JMG5" s="19"/>
      <c r="JMH5" s="19"/>
      <c r="JMI5" s="19"/>
      <c r="JMJ5" s="19"/>
      <c r="JMK5" s="19"/>
      <c r="JML5" s="19"/>
      <c r="JMM5" s="19"/>
      <c r="JMN5" s="19"/>
      <c r="JMO5" s="19"/>
      <c r="JMP5" s="19"/>
      <c r="JMQ5" s="19"/>
      <c r="JMR5" s="19"/>
      <c r="JMS5" s="19"/>
      <c r="JMT5" s="19"/>
      <c r="JMU5" s="19"/>
      <c r="JMV5" s="19"/>
      <c r="JMW5" s="19"/>
      <c r="JMX5" s="19"/>
      <c r="JMY5" s="19"/>
      <c r="JMZ5" s="19"/>
      <c r="JNA5" s="19"/>
      <c r="JNB5" s="19"/>
      <c r="JNC5" s="19"/>
      <c r="JND5" s="19"/>
      <c r="JNE5" s="19"/>
      <c r="JNF5" s="19"/>
      <c r="JNG5" s="19"/>
      <c r="JNH5" s="19"/>
      <c r="JNI5" s="19"/>
      <c r="JNJ5" s="19"/>
      <c r="JNK5" s="19"/>
      <c r="JNL5" s="19"/>
      <c r="JNM5" s="19"/>
      <c r="JNN5" s="19"/>
      <c r="JNO5" s="19"/>
      <c r="JNP5" s="19"/>
      <c r="JNQ5" s="19"/>
      <c r="JNR5" s="19"/>
      <c r="JNS5" s="19"/>
      <c r="JNT5" s="19"/>
      <c r="JNU5" s="19"/>
      <c r="JNV5" s="19"/>
      <c r="JNW5" s="19"/>
      <c r="JNX5" s="19"/>
      <c r="JNY5" s="19"/>
      <c r="JNZ5" s="19"/>
      <c r="JOA5" s="19"/>
      <c r="JOB5" s="19"/>
      <c r="JOC5" s="19"/>
      <c r="JOD5" s="19"/>
      <c r="JOE5" s="19"/>
      <c r="JOF5" s="19"/>
      <c r="JOG5" s="19"/>
      <c r="JOH5" s="19"/>
      <c r="JOI5" s="19"/>
      <c r="JOJ5" s="19"/>
      <c r="JOK5" s="19"/>
      <c r="JOL5" s="19"/>
      <c r="JOM5" s="19"/>
      <c r="JON5" s="19"/>
      <c r="JOO5" s="19"/>
      <c r="JOP5" s="19"/>
      <c r="JOQ5" s="19"/>
      <c r="JOR5" s="19"/>
      <c r="JOS5" s="19"/>
      <c r="JOT5" s="19"/>
      <c r="JOU5" s="19"/>
      <c r="JOV5" s="19"/>
      <c r="JOW5" s="19"/>
      <c r="JOX5" s="19"/>
      <c r="JOY5" s="19"/>
      <c r="JOZ5" s="19"/>
      <c r="JPA5" s="19"/>
      <c r="JPB5" s="19"/>
      <c r="JPC5" s="19"/>
      <c r="JPD5" s="19"/>
      <c r="JPE5" s="19"/>
      <c r="JPF5" s="19"/>
      <c r="JPG5" s="19"/>
      <c r="JPH5" s="19"/>
      <c r="JPI5" s="19"/>
      <c r="JPJ5" s="19"/>
      <c r="JPK5" s="19"/>
      <c r="JPL5" s="19"/>
      <c r="JPM5" s="19"/>
      <c r="JPN5" s="19"/>
      <c r="JPO5" s="19"/>
      <c r="JPP5" s="19"/>
      <c r="JPQ5" s="19"/>
      <c r="JPR5" s="19"/>
      <c r="JPS5" s="19"/>
      <c r="JPT5" s="19"/>
      <c r="JPU5" s="19"/>
      <c r="JPV5" s="19"/>
      <c r="JPW5" s="19"/>
      <c r="JPX5" s="19"/>
      <c r="JPY5" s="19"/>
      <c r="JPZ5" s="19"/>
      <c r="JQA5" s="19"/>
      <c r="JQB5" s="19"/>
      <c r="JQC5" s="19"/>
      <c r="JQD5" s="19"/>
      <c r="JQE5" s="19"/>
      <c r="JQF5" s="19"/>
      <c r="JQG5" s="19"/>
      <c r="JQH5" s="19"/>
      <c r="JQI5" s="19"/>
      <c r="JQJ5" s="19"/>
      <c r="JQK5" s="19"/>
      <c r="JQL5" s="19"/>
      <c r="JQM5" s="19"/>
      <c r="JQN5" s="19"/>
      <c r="JQO5" s="19"/>
      <c r="JQP5" s="19"/>
      <c r="JQQ5" s="19"/>
      <c r="JQR5" s="19"/>
      <c r="JQS5" s="19"/>
      <c r="JQT5" s="19"/>
      <c r="JQU5" s="19"/>
      <c r="JQV5" s="19"/>
      <c r="JQW5" s="19"/>
      <c r="JQX5" s="19"/>
      <c r="JQY5" s="19"/>
      <c r="JQZ5" s="19"/>
      <c r="JRA5" s="19"/>
      <c r="JRB5" s="19"/>
      <c r="JRC5" s="19"/>
      <c r="JRD5" s="19"/>
      <c r="JRE5" s="19"/>
      <c r="JRF5" s="19"/>
      <c r="JRG5" s="19"/>
      <c r="JRH5" s="19"/>
      <c r="JRI5" s="19"/>
      <c r="JRJ5" s="19"/>
      <c r="JRK5" s="19"/>
      <c r="JRL5" s="19"/>
      <c r="JRM5" s="19"/>
      <c r="JRN5" s="19"/>
      <c r="JRO5" s="19"/>
      <c r="JRP5" s="19"/>
      <c r="JRQ5" s="19"/>
      <c r="JRR5" s="19"/>
      <c r="JRS5" s="19"/>
      <c r="JRT5" s="19"/>
      <c r="JRU5" s="19"/>
      <c r="JRV5" s="19"/>
      <c r="JRW5" s="19"/>
      <c r="JRX5" s="19"/>
      <c r="JRY5" s="19"/>
      <c r="JRZ5" s="19"/>
      <c r="JSA5" s="19"/>
      <c r="JSB5" s="19"/>
      <c r="JSC5" s="19"/>
      <c r="JSD5" s="19"/>
      <c r="JSE5" s="19"/>
      <c r="JSF5" s="19"/>
      <c r="JSG5" s="19"/>
      <c r="JSH5" s="19"/>
      <c r="JSI5" s="19"/>
      <c r="JSJ5" s="19"/>
      <c r="JSK5" s="19"/>
      <c r="JSL5" s="19"/>
      <c r="JSM5" s="19"/>
      <c r="JSN5" s="19"/>
      <c r="JSO5" s="19"/>
      <c r="JSP5" s="19"/>
      <c r="JSQ5" s="19"/>
      <c r="JSR5" s="19"/>
      <c r="JSS5" s="19"/>
      <c r="JST5" s="19"/>
      <c r="JSU5" s="19"/>
      <c r="JSV5" s="19"/>
      <c r="JSW5" s="19"/>
      <c r="JSX5" s="19"/>
      <c r="JSY5" s="19"/>
      <c r="JSZ5" s="19"/>
      <c r="JTA5" s="19"/>
      <c r="JTB5" s="19"/>
      <c r="JTC5" s="19"/>
      <c r="JTD5" s="19"/>
      <c r="JTE5" s="19"/>
      <c r="JTF5" s="19"/>
      <c r="JTG5" s="19"/>
      <c r="JTH5" s="19"/>
      <c r="JTI5" s="19"/>
      <c r="JTJ5" s="19"/>
      <c r="JTK5" s="19"/>
      <c r="JTL5" s="19"/>
      <c r="JTM5" s="19"/>
      <c r="JTN5" s="19"/>
      <c r="JTO5" s="19"/>
      <c r="JTP5" s="19"/>
      <c r="JTQ5" s="19"/>
      <c r="JTR5" s="19"/>
      <c r="JTS5" s="19"/>
      <c r="JTT5" s="19"/>
      <c r="JTU5" s="19"/>
      <c r="JTV5" s="19"/>
      <c r="JTW5" s="19"/>
      <c r="JTX5" s="19"/>
      <c r="JTY5" s="19"/>
      <c r="JTZ5" s="19"/>
      <c r="JUA5" s="19"/>
      <c r="JUB5" s="19"/>
      <c r="JUC5" s="19"/>
      <c r="JUD5" s="19"/>
      <c r="JUE5" s="19"/>
      <c r="JUF5" s="19"/>
      <c r="JUG5" s="19"/>
      <c r="JUH5" s="19"/>
      <c r="JUI5" s="19"/>
      <c r="JUJ5" s="19"/>
      <c r="JUK5" s="19"/>
      <c r="JUL5" s="19"/>
      <c r="JUM5" s="19"/>
      <c r="JUN5" s="19"/>
      <c r="JUO5" s="19"/>
      <c r="JUP5" s="19"/>
      <c r="JUQ5" s="19"/>
      <c r="JUR5" s="19"/>
      <c r="JUS5" s="19"/>
      <c r="JUT5" s="19"/>
      <c r="JUU5" s="19"/>
      <c r="JUV5" s="19"/>
      <c r="JUW5" s="19"/>
      <c r="JUX5" s="19"/>
      <c r="JUY5" s="19"/>
      <c r="JUZ5" s="19"/>
      <c r="JVA5" s="19"/>
      <c r="JVB5" s="19"/>
      <c r="JVC5" s="19"/>
      <c r="JVD5" s="19"/>
      <c r="JVE5" s="19"/>
      <c r="JVF5" s="19"/>
      <c r="JVG5" s="19"/>
      <c r="JVH5" s="19"/>
      <c r="JVI5" s="19"/>
      <c r="JVJ5" s="19"/>
      <c r="JVK5" s="19"/>
      <c r="JVL5" s="19"/>
      <c r="JVM5" s="19"/>
      <c r="JVN5" s="19"/>
      <c r="JVO5" s="19"/>
      <c r="JVP5" s="19"/>
      <c r="JVQ5" s="19"/>
      <c r="JVR5" s="19"/>
      <c r="JVS5" s="19"/>
      <c r="JVT5" s="19"/>
      <c r="JVU5" s="19"/>
      <c r="JVV5" s="19"/>
      <c r="JVW5" s="19"/>
      <c r="JVX5" s="19"/>
      <c r="JVY5" s="19"/>
      <c r="JVZ5" s="19"/>
      <c r="JWA5" s="19"/>
      <c r="JWB5" s="19"/>
      <c r="JWC5" s="19"/>
      <c r="JWD5" s="19"/>
      <c r="JWE5" s="19"/>
      <c r="JWF5" s="19"/>
      <c r="JWG5" s="19"/>
      <c r="JWH5" s="19"/>
      <c r="JWI5" s="19"/>
      <c r="JWJ5" s="19"/>
      <c r="JWK5" s="19"/>
      <c r="JWL5" s="19"/>
      <c r="JWM5" s="19"/>
      <c r="JWN5" s="19"/>
      <c r="JWO5" s="19"/>
      <c r="JWP5" s="19"/>
      <c r="JWQ5" s="19"/>
      <c r="JWR5" s="19"/>
      <c r="JWS5" s="19"/>
      <c r="JWT5" s="19"/>
      <c r="JWU5" s="19"/>
      <c r="JWV5" s="19"/>
      <c r="JWW5" s="19"/>
      <c r="JWX5" s="19"/>
      <c r="JWY5" s="19"/>
      <c r="JWZ5" s="19"/>
      <c r="JXA5" s="19"/>
      <c r="JXB5" s="19"/>
      <c r="JXC5" s="19"/>
      <c r="JXD5" s="19"/>
      <c r="JXE5" s="19"/>
      <c r="JXF5" s="19"/>
      <c r="JXG5" s="19"/>
      <c r="JXH5" s="19"/>
      <c r="JXI5" s="19"/>
      <c r="JXJ5" s="19"/>
      <c r="JXK5" s="19"/>
      <c r="JXL5" s="19"/>
      <c r="JXM5" s="19"/>
      <c r="JXN5" s="19"/>
      <c r="JXO5" s="19"/>
      <c r="JXP5" s="19"/>
      <c r="JXQ5" s="19"/>
      <c r="JXR5" s="19"/>
      <c r="JXS5" s="19"/>
      <c r="JXT5" s="19"/>
      <c r="JXU5" s="19"/>
      <c r="JXV5" s="19"/>
      <c r="JXW5" s="19"/>
      <c r="JXX5" s="19"/>
      <c r="JXY5" s="19"/>
      <c r="JXZ5" s="19"/>
      <c r="JYA5" s="19"/>
      <c r="JYB5" s="19"/>
      <c r="JYC5" s="19"/>
      <c r="JYD5" s="19"/>
      <c r="JYE5" s="19"/>
      <c r="JYF5" s="19"/>
      <c r="JYG5" s="19"/>
      <c r="JYH5" s="19"/>
      <c r="JYI5" s="19"/>
      <c r="JYJ5" s="19"/>
      <c r="JYK5" s="19"/>
      <c r="JYL5" s="19"/>
      <c r="JYM5" s="19"/>
      <c r="JYN5" s="19"/>
      <c r="JYO5" s="19"/>
      <c r="JYP5" s="19"/>
      <c r="JYQ5" s="19"/>
      <c r="JYR5" s="19"/>
      <c r="JYS5" s="19"/>
      <c r="JYT5" s="19"/>
      <c r="JYU5" s="19"/>
      <c r="JYV5" s="19"/>
      <c r="JYW5" s="19"/>
      <c r="JYX5" s="19"/>
      <c r="JYY5" s="19"/>
      <c r="JYZ5" s="19"/>
      <c r="JZA5" s="19"/>
      <c r="JZB5" s="19"/>
      <c r="JZC5" s="19"/>
      <c r="JZD5" s="19"/>
      <c r="JZE5" s="19"/>
      <c r="JZF5" s="19"/>
      <c r="JZG5" s="19"/>
      <c r="JZH5" s="19"/>
      <c r="JZI5" s="19"/>
      <c r="JZJ5" s="19"/>
      <c r="JZK5" s="19"/>
      <c r="JZL5" s="19"/>
      <c r="JZM5" s="19"/>
      <c r="JZN5" s="19"/>
      <c r="JZO5" s="19"/>
      <c r="JZP5" s="19"/>
      <c r="JZQ5" s="19"/>
      <c r="JZR5" s="19"/>
      <c r="JZS5" s="19"/>
      <c r="JZT5" s="19"/>
      <c r="JZU5" s="19"/>
      <c r="JZV5" s="19"/>
      <c r="JZW5" s="19"/>
      <c r="JZX5" s="19"/>
      <c r="JZY5" s="19"/>
      <c r="JZZ5" s="19"/>
      <c r="KAA5" s="19"/>
      <c r="KAB5" s="19"/>
      <c r="KAC5" s="19"/>
      <c r="KAD5" s="19"/>
      <c r="KAE5" s="19"/>
      <c r="KAF5" s="19"/>
      <c r="KAG5" s="19"/>
      <c r="KAH5" s="19"/>
      <c r="KAI5" s="19"/>
      <c r="KAJ5" s="19"/>
      <c r="KAK5" s="19"/>
      <c r="KAL5" s="19"/>
      <c r="KAM5" s="19"/>
      <c r="KAN5" s="19"/>
      <c r="KAO5" s="19"/>
      <c r="KAP5" s="19"/>
      <c r="KAQ5" s="19"/>
      <c r="KAR5" s="19"/>
      <c r="KAS5" s="19"/>
      <c r="KAT5" s="19"/>
      <c r="KAU5" s="19"/>
      <c r="KAV5" s="19"/>
      <c r="KAW5" s="19"/>
      <c r="KAX5" s="19"/>
      <c r="KAY5" s="19"/>
      <c r="KAZ5" s="19"/>
      <c r="KBA5" s="19"/>
      <c r="KBB5" s="19"/>
      <c r="KBC5" s="19"/>
      <c r="KBD5" s="19"/>
      <c r="KBE5" s="19"/>
      <c r="KBF5" s="19"/>
      <c r="KBG5" s="19"/>
      <c r="KBH5" s="19"/>
      <c r="KBI5" s="19"/>
      <c r="KBJ5" s="19"/>
      <c r="KBK5" s="19"/>
      <c r="KBL5" s="19"/>
      <c r="KBM5" s="19"/>
      <c r="KBN5" s="19"/>
      <c r="KBO5" s="19"/>
      <c r="KBP5" s="19"/>
      <c r="KBQ5" s="19"/>
      <c r="KBR5" s="19"/>
      <c r="KBS5" s="19"/>
      <c r="KBT5" s="19"/>
      <c r="KBU5" s="19"/>
      <c r="KBV5" s="19"/>
      <c r="KBW5" s="19"/>
      <c r="KBX5" s="19"/>
      <c r="KBY5" s="19"/>
      <c r="KBZ5" s="19"/>
      <c r="KCA5" s="19"/>
      <c r="KCB5" s="19"/>
      <c r="KCC5" s="19"/>
      <c r="KCD5" s="19"/>
      <c r="KCE5" s="19"/>
      <c r="KCF5" s="19"/>
      <c r="KCG5" s="19"/>
      <c r="KCH5" s="19"/>
      <c r="KCI5" s="19"/>
      <c r="KCJ5" s="19"/>
      <c r="KCK5" s="19"/>
      <c r="KCL5" s="19"/>
      <c r="KCM5" s="19"/>
      <c r="KCN5" s="19"/>
      <c r="KCO5" s="19"/>
      <c r="KCP5" s="19"/>
      <c r="KCQ5" s="19"/>
      <c r="KCR5" s="19"/>
      <c r="KCS5" s="19"/>
      <c r="KCT5" s="19"/>
      <c r="KCU5" s="19"/>
      <c r="KCV5" s="19"/>
      <c r="KCW5" s="19"/>
      <c r="KCX5" s="19"/>
      <c r="KCY5" s="19"/>
      <c r="KCZ5" s="19"/>
      <c r="KDA5" s="19"/>
      <c r="KDB5" s="19"/>
      <c r="KDC5" s="19"/>
      <c r="KDD5" s="19"/>
      <c r="KDE5" s="19"/>
      <c r="KDF5" s="19"/>
      <c r="KDG5" s="19"/>
      <c r="KDH5" s="19"/>
      <c r="KDI5" s="19"/>
      <c r="KDJ5" s="19"/>
      <c r="KDK5" s="19"/>
      <c r="KDL5" s="19"/>
      <c r="KDM5" s="19"/>
      <c r="KDN5" s="19"/>
      <c r="KDO5" s="19"/>
      <c r="KDP5" s="19"/>
      <c r="KDQ5" s="19"/>
      <c r="KDR5" s="19"/>
      <c r="KDS5" s="19"/>
      <c r="KDT5" s="19"/>
      <c r="KDU5" s="19"/>
      <c r="KDV5" s="19"/>
      <c r="KDW5" s="19"/>
      <c r="KDX5" s="19"/>
      <c r="KDY5" s="19"/>
      <c r="KDZ5" s="19"/>
      <c r="KEA5" s="19"/>
      <c r="KEB5" s="19"/>
      <c r="KEC5" s="19"/>
      <c r="KED5" s="19"/>
      <c r="KEE5" s="19"/>
      <c r="KEF5" s="19"/>
      <c r="KEG5" s="19"/>
      <c r="KEH5" s="19"/>
      <c r="KEI5" s="19"/>
      <c r="KEJ5" s="19"/>
      <c r="KEK5" s="19"/>
      <c r="KEL5" s="19"/>
      <c r="KEM5" s="19"/>
      <c r="KEN5" s="19"/>
      <c r="KEO5" s="19"/>
      <c r="KEP5" s="19"/>
      <c r="KEQ5" s="19"/>
      <c r="KER5" s="19"/>
      <c r="KES5" s="19"/>
      <c r="KET5" s="19"/>
      <c r="KEU5" s="19"/>
      <c r="KEV5" s="19"/>
      <c r="KEW5" s="19"/>
      <c r="KEX5" s="19"/>
      <c r="KEY5" s="19"/>
      <c r="KEZ5" s="19"/>
      <c r="KFA5" s="19"/>
      <c r="KFB5" s="19"/>
      <c r="KFC5" s="19"/>
      <c r="KFD5" s="19"/>
      <c r="KFE5" s="19"/>
      <c r="KFF5" s="19"/>
      <c r="KFG5" s="19"/>
      <c r="KFH5" s="19"/>
      <c r="KFI5" s="19"/>
      <c r="KFJ5" s="19"/>
      <c r="KFK5" s="19"/>
      <c r="KFL5" s="19"/>
      <c r="KFM5" s="19"/>
      <c r="KFN5" s="19"/>
      <c r="KFO5" s="19"/>
      <c r="KFP5" s="19"/>
      <c r="KFQ5" s="19"/>
      <c r="KFR5" s="19"/>
      <c r="KFS5" s="19"/>
      <c r="KFT5" s="19"/>
      <c r="KFU5" s="19"/>
      <c r="KFV5" s="19"/>
      <c r="KFW5" s="19"/>
      <c r="KFX5" s="19"/>
      <c r="KFY5" s="19"/>
      <c r="KFZ5" s="19"/>
      <c r="KGA5" s="19"/>
      <c r="KGB5" s="19"/>
      <c r="KGC5" s="19"/>
      <c r="KGD5" s="19"/>
      <c r="KGE5" s="19"/>
      <c r="KGF5" s="19"/>
      <c r="KGG5" s="19"/>
      <c r="KGH5" s="19"/>
      <c r="KGI5" s="19"/>
      <c r="KGJ5" s="19"/>
      <c r="KGK5" s="19"/>
      <c r="KGL5" s="19"/>
      <c r="KGM5" s="19"/>
      <c r="KGN5" s="19"/>
      <c r="KGO5" s="19"/>
      <c r="KGP5" s="19"/>
      <c r="KGQ5" s="19"/>
      <c r="KGR5" s="19"/>
      <c r="KGS5" s="19"/>
      <c r="KGT5" s="19"/>
      <c r="KGU5" s="19"/>
      <c r="KGV5" s="19"/>
      <c r="KGW5" s="19"/>
      <c r="KGX5" s="19"/>
      <c r="KGY5" s="19"/>
      <c r="KGZ5" s="19"/>
      <c r="KHA5" s="19"/>
      <c r="KHB5" s="19"/>
      <c r="KHC5" s="19"/>
      <c r="KHD5" s="19"/>
      <c r="KHE5" s="19"/>
      <c r="KHF5" s="19"/>
      <c r="KHG5" s="19"/>
      <c r="KHH5" s="19"/>
      <c r="KHI5" s="19"/>
      <c r="KHJ5" s="19"/>
      <c r="KHK5" s="19"/>
      <c r="KHL5" s="19"/>
      <c r="KHM5" s="19"/>
      <c r="KHN5" s="19"/>
      <c r="KHO5" s="19"/>
      <c r="KHP5" s="19"/>
      <c r="KHQ5" s="19"/>
      <c r="KHR5" s="19"/>
      <c r="KHS5" s="19"/>
      <c r="KHT5" s="19"/>
      <c r="KHU5" s="19"/>
      <c r="KHV5" s="19"/>
      <c r="KHW5" s="19"/>
      <c r="KHX5" s="19"/>
      <c r="KHY5" s="19"/>
      <c r="KHZ5" s="19"/>
      <c r="KIA5" s="19"/>
      <c r="KIB5" s="19"/>
      <c r="KIC5" s="19"/>
      <c r="KID5" s="19"/>
      <c r="KIE5" s="19"/>
      <c r="KIF5" s="19"/>
      <c r="KIG5" s="19"/>
      <c r="KIH5" s="19"/>
      <c r="KII5" s="19"/>
      <c r="KIJ5" s="19"/>
      <c r="KIK5" s="19"/>
      <c r="KIL5" s="19"/>
      <c r="KIM5" s="19"/>
      <c r="KIN5" s="19"/>
      <c r="KIO5" s="19"/>
      <c r="KIP5" s="19"/>
      <c r="KIQ5" s="19"/>
      <c r="KIR5" s="19"/>
      <c r="KIS5" s="19"/>
      <c r="KIT5" s="19"/>
      <c r="KIU5" s="19"/>
      <c r="KIV5" s="19"/>
      <c r="KIW5" s="19"/>
      <c r="KIX5" s="19"/>
      <c r="KIY5" s="19"/>
      <c r="KIZ5" s="19"/>
      <c r="KJA5" s="19"/>
      <c r="KJB5" s="19"/>
      <c r="KJC5" s="19"/>
      <c r="KJD5" s="19"/>
      <c r="KJE5" s="19"/>
      <c r="KJF5" s="19"/>
      <c r="KJG5" s="19"/>
      <c r="KJH5" s="19"/>
      <c r="KJI5" s="19"/>
      <c r="KJJ5" s="19"/>
      <c r="KJK5" s="19"/>
      <c r="KJL5" s="19"/>
      <c r="KJM5" s="19"/>
      <c r="KJN5" s="19"/>
      <c r="KJO5" s="19"/>
      <c r="KJP5" s="19"/>
      <c r="KJQ5" s="19"/>
      <c r="KJR5" s="19"/>
      <c r="KJS5" s="19"/>
      <c r="KJT5" s="19"/>
      <c r="KJU5" s="19"/>
      <c r="KJV5" s="19"/>
      <c r="KJW5" s="19"/>
      <c r="KJX5" s="19"/>
      <c r="KJY5" s="19"/>
      <c r="KJZ5" s="19"/>
      <c r="KKA5" s="19"/>
      <c r="KKB5" s="19"/>
      <c r="KKC5" s="19"/>
      <c r="KKD5" s="19"/>
      <c r="KKE5" s="19"/>
      <c r="KKF5" s="19"/>
      <c r="KKG5" s="19"/>
      <c r="KKH5" s="19"/>
      <c r="KKI5" s="19"/>
      <c r="KKJ5" s="19"/>
      <c r="KKK5" s="19"/>
      <c r="KKL5" s="19"/>
      <c r="KKM5" s="19"/>
      <c r="KKN5" s="19"/>
      <c r="KKO5" s="19"/>
      <c r="KKP5" s="19"/>
      <c r="KKQ5" s="19"/>
      <c r="KKR5" s="19"/>
      <c r="KKS5" s="19"/>
      <c r="KKT5" s="19"/>
      <c r="KKU5" s="19"/>
      <c r="KKV5" s="19"/>
      <c r="KKW5" s="19"/>
      <c r="KKX5" s="19"/>
      <c r="KKY5" s="19"/>
      <c r="KKZ5" s="19"/>
      <c r="KLA5" s="19"/>
      <c r="KLB5" s="19"/>
      <c r="KLC5" s="19"/>
      <c r="KLD5" s="19"/>
      <c r="KLE5" s="19"/>
      <c r="KLF5" s="19"/>
      <c r="KLG5" s="19"/>
      <c r="KLH5" s="19"/>
      <c r="KLI5" s="19"/>
      <c r="KLJ5" s="19"/>
      <c r="KLK5" s="19"/>
      <c r="KLL5" s="19"/>
      <c r="KLM5" s="19"/>
      <c r="KLN5" s="19"/>
      <c r="KLO5" s="19"/>
      <c r="KLP5" s="19"/>
      <c r="KLQ5" s="19"/>
      <c r="KLR5" s="19"/>
      <c r="KLS5" s="19"/>
      <c r="KLT5" s="19"/>
      <c r="KLU5" s="19"/>
      <c r="KLV5" s="19"/>
      <c r="KLW5" s="19"/>
      <c r="KLX5" s="19"/>
      <c r="KLY5" s="19"/>
      <c r="KLZ5" s="19"/>
      <c r="KMA5" s="19"/>
      <c r="KMB5" s="19"/>
      <c r="KMC5" s="19"/>
      <c r="KMD5" s="19"/>
      <c r="KME5" s="19"/>
      <c r="KMF5" s="19"/>
      <c r="KMG5" s="19"/>
      <c r="KMH5" s="19"/>
      <c r="KMI5" s="19"/>
      <c r="KMJ5" s="19"/>
      <c r="KMK5" s="19"/>
      <c r="KML5" s="19"/>
      <c r="KMM5" s="19"/>
      <c r="KMN5" s="19"/>
      <c r="KMO5" s="19"/>
      <c r="KMP5" s="19"/>
      <c r="KMQ5" s="19"/>
      <c r="KMR5" s="19"/>
      <c r="KMS5" s="19"/>
      <c r="KMT5" s="19"/>
      <c r="KMU5" s="19"/>
      <c r="KMV5" s="19"/>
      <c r="KMW5" s="19"/>
      <c r="KMX5" s="19"/>
      <c r="KMY5" s="19"/>
      <c r="KMZ5" s="19"/>
      <c r="KNA5" s="19"/>
      <c r="KNB5" s="19"/>
      <c r="KNC5" s="19"/>
      <c r="KND5" s="19"/>
      <c r="KNE5" s="19"/>
      <c r="KNF5" s="19"/>
      <c r="KNG5" s="19"/>
      <c r="KNH5" s="19"/>
      <c r="KNI5" s="19"/>
      <c r="KNJ5" s="19"/>
      <c r="KNK5" s="19"/>
      <c r="KNL5" s="19"/>
      <c r="KNM5" s="19"/>
      <c r="KNN5" s="19"/>
      <c r="KNO5" s="19"/>
      <c r="KNP5" s="19"/>
      <c r="KNQ5" s="19"/>
      <c r="KNR5" s="19"/>
      <c r="KNS5" s="19"/>
      <c r="KNT5" s="19"/>
      <c r="KNU5" s="19"/>
      <c r="KNV5" s="19"/>
      <c r="KNW5" s="19"/>
      <c r="KNX5" s="19"/>
      <c r="KNY5" s="19"/>
      <c r="KNZ5" s="19"/>
      <c r="KOA5" s="19"/>
      <c r="KOB5" s="19"/>
      <c r="KOC5" s="19"/>
      <c r="KOD5" s="19"/>
      <c r="KOE5" s="19"/>
      <c r="KOF5" s="19"/>
      <c r="KOG5" s="19"/>
      <c r="KOH5" s="19"/>
      <c r="KOI5" s="19"/>
      <c r="KOJ5" s="19"/>
      <c r="KOK5" s="19"/>
      <c r="KOL5" s="19"/>
      <c r="KOM5" s="19"/>
      <c r="KON5" s="19"/>
      <c r="KOO5" s="19"/>
      <c r="KOP5" s="19"/>
      <c r="KOQ5" s="19"/>
      <c r="KOR5" s="19"/>
      <c r="KOS5" s="19"/>
      <c r="KOT5" s="19"/>
      <c r="KOU5" s="19"/>
      <c r="KOV5" s="19"/>
      <c r="KOW5" s="19"/>
      <c r="KOX5" s="19"/>
      <c r="KOY5" s="19"/>
      <c r="KOZ5" s="19"/>
      <c r="KPA5" s="19"/>
      <c r="KPB5" s="19"/>
      <c r="KPC5" s="19"/>
      <c r="KPD5" s="19"/>
      <c r="KPE5" s="19"/>
      <c r="KPF5" s="19"/>
      <c r="KPG5" s="19"/>
      <c r="KPH5" s="19"/>
      <c r="KPI5" s="19"/>
      <c r="KPJ5" s="19"/>
      <c r="KPK5" s="19"/>
      <c r="KPL5" s="19"/>
      <c r="KPM5" s="19"/>
      <c r="KPN5" s="19"/>
      <c r="KPO5" s="19"/>
      <c r="KPP5" s="19"/>
      <c r="KPQ5" s="19"/>
      <c r="KPR5" s="19"/>
      <c r="KPS5" s="19"/>
      <c r="KPT5" s="19"/>
      <c r="KPU5" s="19"/>
      <c r="KPV5" s="19"/>
      <c r="KPW5" s="19"/>
      <c r="KPX5" s="19"/>
      <c r="KPY5" s="19"/>
      <c r="KPZ5" s="19"/>
      <c r="KQA5" s="19"/>
      <c r="KQB5" s="19"/>
      <c r="KQC5" s="19"/>
      <c r="KQD5" s="19"/>
      <c r="KQE5" s="19"/>
      <c r="KQF5" s="19"/>
      <c r="KQG5" s="19"/>
      <c r="KQH5" s="19"/>
      <c r="KQI5" s="19"/>
      <c r="KQJ5" s="19"/>
      <c r="KQK5" s="19"/>
      <c r="KQL5" s="19"/>
      <c r="KQM5" s="19"/>
      <c r="KQN5" s="19"/>
      <c r="KQO5" s="19"/>
      <c r="KQP5" s="19"/>
      <c r="KQQ5" s="19"/>
      <c r="KQR5" s="19"/>
      <c r="KQS5" s="19"/>
      <c r="KQT5" s="19"/>
      <c r="KQU5" s="19"/>
      <c r="KQV5" s="19"/>
      <c r="KQW5" s="19"/>
      <c r="KQX5" s="19"/>
      <c r="KQY5" s="19"/>
      <c r="KQZ5" s="19"/>
      <c r="KRA5" s="19"/>
      <c r="KRB5" s="19"/>
      <c r="KRC5" s="19"/>
      <c r="KRD5" s="19"/>
      <c r="KRE5" s="19"/>
      <c r="KRF5" s="19"/>
      <c r="KRG5" s="19"/>
      <c r="KRH5" s="19"/>
      <c r="KRI5" s="19"/>
      <c r="KRJ5" s="19"/>
      <c r="KRK5" s="19"/>
      <c r="KRL5" s="19"/>
      <c r="KRM5" s="19"/>
      <c r="KRN5" s="19"/>
      <c r="KRO5" s="19"/>
      <c r="KRP5" s="19"/>
      <c r="KRQ5" s="19"/>
      <c r="KRR5" s="19"/>
      <c r="KRS5" s="19"/>
      <c r="KRT5" s="19"/>
      <c r="KRU5" s="19"/>
      <c r="KRV5" s="19"/>
      <c r="KRW5" s="19"/>
      <c r="KRX5" s="19"/>
      <c r="KRY5" s="19"/>
      <c r="KRZ5" s="19"/>
      <c r="KSA5" s="19"/>
      <c r="KSB5" s="19"/>
      <c r="KSC5" s="19"/>
      <c r="KSD5" s="19"/>
      <c r="KSE5" s="19"/>
      <c r="KSF5" s="19"/>
      <c r="KSG5" s="19"/>
      <c r="KSH5" s="19"/>
      <c r="KSI5" s="19"/>
      <c r="KSJ5" s="19"/>
      <c r="KSK5" s="19"/>
      <c r="KSL5" s="19"/>
      <c r="KSM5" s="19"/>
      <c r="KSN5" s="19"/>
      <c r="KSO5" s="19"/>
      <c r="KSP5" s="19"/>
      <c r="KSQ5" s="19"/>
      <c r="KSR5" s="19"/>
      <c r="KSS5" s="19"/>
      <c r="KST5" s="19"/>
      <c r="KSU5" s="19"/>
      <c r="KSV5" s="19"/>
      <c r="KSW5" s="19"/>
      <c r="KSX5" s="19"/>
      <c r="KSY5" s="19"/>
      <c r="KSZ5" s="19"/>
      <c r="KTA5" s="19"/>
      <c r="KTB5" s="19"/>
      <c r="KTC5" s="19"/>
      <c r="KTD5" s="19"/>
      <c r="KTE5" s="19"/>
      <c r="KTF5" s="19"/>
      <c r="KTG5" s="19"/>
      <c r="KTH5" s="19"/>
      <c r="KTI5" s="19"/>
      <c r="KTJ5" s="19"/>
      <c r="KTK5" s="19"/>
      <c r="KTL5" s="19"/>
      <c r="KTM5" s="19"/>
      <c r="KTN5" s="19"/>
      <c r="KTO5" s="19"/>
      <c r="KTP5" s="19"/>
      <c r="KTQ5" s="19"/>
      <c r="KTR5" s="19"/>
      <c r="KTS5" s="19"/>
      <c r="KTT5" s="19"/>
      <c r="KTU5" s="19"/>
      <c r="KTV5" s="19"/>
      <c r="KTW5" s="19"/>
      <c r="KTX5" s="19"/>
      <c r="KTY5" s="19"/>
      <c r="KTZ5" s="19"/>
      <c r="KUA5" s="19"/>
      <c r="KUB5" s="19"/>
      <c r="KUC5" s="19"/>
      <c r="KUD5" s="19"/>
      <c r="KUE5" s="19"/>
      <c r="KUF5" s="19"/>
      <c r="KUG5" s="19"/>
      <c r="KUH5" s="19"/>
      <c r="KUI5" s="19"/>
      <c r="KUJ5" s="19"/>
      <c r="KUK5" s="19"/>
      <c r="KUL5" s="19"/>
      <c r="KUM5" s="19"/>
      <c r="KUN5" s="19"/>
      <c r="KUO5" s="19"/>
      <c r="KUP5" s="19"/>
      <c r="KUQ5" s="19"/>
      <c r="KUR5" s="19"/>
      <c r="KUS5" s="19"/>
      <c r="KUT5" s="19"/>
      <c r="KUU5" s="19"/>
      <c r="KUV5" s="19"/>
      <c r="KUW5" s="19"/>
      <c r="KUX5" s="19"/>
      <c r="KUY5" s="19"/>
      <c r="KUZ5" s="19"/>
      <c r="KVA5" s="19"/>
      <c r="KVB5" s="19"/>
      <c r="KVC5" s="19"/>
      <c r="KVD5" s="19"/>
      <c r="KVE5" s="19"/>
      <c r="KVF5" s="19"/>
      <c r="KVG5" s="19"/>
      <c r="KVH5" s="19"/>
      <c r="KVI5" s="19"/>
      <c r="KVJ5" s="19"/>
      <c r="KVK5" s="19"/>
      <c r="KVL5" s="19"/>
      <c r="KVM5" s="19"/>
      <c r="KVN5" s="19"/>
      <c r="KVO5" s="19"/>
      <c r="KVP5" s="19"/>
      <c r="KVQ5" s="19"/>
      <c r="KVR5" s="19"/>
      <c r="KVS5" s="19"/>
      <c r="KVT5" s="19"/>
      <c r="KVU5" s="19"/>
      <c r="KVV5" s="19"/>
      <c r="KVW5" s="19"/>
      <c r="KVX5" s="19"/>
      <c r="KVY5" s="19"/>
      <c r="KVZ5" s="19"/>
      <c r="KWA5" s="19"/>
      <c r="KWB5" s="19"/>
      <c r="KWC5" s="19"/>
      <c r="KWD5" s="19"/>
      <c r="KWE5" s="19"/>
      <c r="KWF5" s="19"/>
      <c r="KWG5" s="19"/>
      <c r="KWH5" s="19"/>
      <c r="KWI5" s="19"/>
      <c r="KWJ5" s="19"/>
      <c r="KWK5" s="19"/>
      <c r="KWL5" s="19"/>
      <c r="KWM5" s="19"/>
      <c r="KWN5" s="19"/>
      <c r="KWO5" s="19"/>
      <c r="KWP5" s="19"/>
      <c r="KWQ5" s="19"/>
      <c r="KWR5" s="19"/>
      <c r="KWS5" s="19"/>
      <c r="KWT5" s="19"/>
      <c r="KWU5" s="19"/>
      <c r="KWV5" s="19"/>
      <c r="KWW5" s="19"/>
      <c r="KWX5" s="19"/>
      <c r="KWY5" s="19"/>
      <c r="KWZ5" s="19"/>
      <c r="KXA5" s="19"/>
      <c r="KXB5" s="19"/>
      <c r="KXC5" s="19"/>
      <c r="KXD5" s="19"/>
      <c r="KXE5" s="19"/>
      <c r="KXF5" s="19"/>
      <c r="KXG5" s="19"/>
      <c r="KXH5" s="19"/>
      <c r="KXI5" s="19"/>
      <c r="KXJ5" s="19"/>
      <c r="KXK5" s="19"/>
      <c r="KXL5" s="19"/>
      <c r="KXM5" s="19"/>
      <c r="KXN5" s="19"/>
      <c r="KXO5" s="19"/>
      <c r="KXP5" s="19"/>
      <c r="KXQ5" s="19"/>
      <c r="KXR5" s="19"/>
      <c r="KXS5" s="19"/>
      <c r="KXT5" s="19"/>
      <c r="KXU5" s="19"/>
      <c r="KXV5" s="19"/>
      <c r="KXW5" s="19"/>
      <c r="KXX5" s="19"/>
      <c r="KXY5" s="19"/>
      <c r="KXZ5" s="19"/>
      <c r="KYA5" s="19"/>
      <c r="KYB5" s="19"/>
      <c r="KYC5" s="19"/>
      <c r="KYD5" s="19"/>
      <c r="KYE5" s="19"/>
      <c r="KYF5" s="19"/>
      <c r="KYG5" s="19"/>
      <c r="KYH5" s="19"/>
      <c r="KYI5" s="19"/>
      <c r="KYJ5" s="19"/>
      <c r="KYK5" s="19"/>
      <c r="KYL5" s="19"/>
      <c r="KYM5" s="19"/>
      <c r="KYN5" s="19"/>
      <c r="KYO5" s="19"/>
      <c r="KYP5" s="19"/>
      <c r="KYQ5" s="19"/>
      <c r="KYR5" s="19"/>
      <c r="KYS5" s="19"/>
      <c r="KYT5" s="19"/>
      <c r="KYU5" s="19"/>
      <c r="KYV5" s="19"/>
      <c r="KYW5" s="19"/>
      <c r="KYX5" s="19"/>
      <c r="KYY5" s="19"/>
      <c r="KYZ5" s="19"/>
      <c r="KZA5" s="19"/>
      <c r="KZB5" s="19"/>
      <c r="KZC5" s="19"/>
      <c r="KZD5" s="19"/>
      <c r="KZE5" s="19"/>
      <c r="KZF5" s="19"/>
      <c r="KZG5" s="19"/>
      <c r="KZH5" s="19"/>
      <c r="KZI5" s="19"/>
      <c r="KZJ5" s="19"/>
      <c r="KZK5" s="19"/>
      <c r="KZL5" s="19"/>
      <c r="KZM5" s="19"/>
      <c r="KZN5" s="19"/>
      <c r="KZO5" s="19"/>
      <c r="KZP5" s="19"/>
      <c r="KZQ5" s="19"/>
      <c r="KZR5" s="19"/>
      <c r="KZS5" s="19"/>
      <c r="KZT5" s="19"/>
      <c r="KZU5" s="19"/>
      <c r="KZV5" s="19"/>
      <c r="KZW5" s="19"/>
      <c r="KZX5" s="19"/>
      <c r="KZY5" s="19"/>
      <c r="KZZ5" s="19"/>
      <c r="LAA5" s="19"/>
      <c r="LAB5" s="19"/>
      <c r="LAC5" s="19"/>
      <c r="LAD5" s="19"/>
      <c r="LAE5" s="19"/>
      <c r="LAF5" s="19"/>
      <c r="LAG5" s="19"/>
      <c r="LAH5" s="19"/>
      <c r="LAI5" s="19"/>
      <c r="LAJ5" s="19"/>
      <c r="LAK5" s="19"/>
      <c r="LAL5" s="19"/>
      <c r="LAM5" s="19"/>
      <c r="LAN5" s="19"/>
      <c r="LAO5" s="19"/>
      <c r="LAP5" s="19"/>
      <c r="LAQ5" s="19"/>
      <c r="LAR5" s="19"/>
      <c r="LAS5" s="19"/>
      <c r="LAT5" s="19"/>
      <c r="LAU5" s="19"/>
      <c r="LAV5" s="19"/>
      <c r="LAW5" s="19"/>
      <c r="LAX5" s="19"/>
      <c r="LAY5" s="19"/>
      <c r="LAZ5" s="19"/>
      <c r="LBA5" s="19"/>
      <c r="LBB5" s="19"/>
      <c r="LBC5" s="19"/>
      <c r="LBD5" s="19"/>
      <c r="LBE5" s="19"/>
      <c r="LBF5" s="19"/>
      <c r="LBG5" s="19"/>
      <c r="LBH5" s="19"/>
      <c r="LBI5" s="19"/>
      <c r="LBJ5" s="19"/>
      <c r="LBK5" s="19"/>
      <c r="LBL5" s="19"/>
      <c r="LBM5" s="19"/>
      <c r="LBN5" s="19"/>
      <c r="LBO5" s="19"/>
      <c r="LBP5" s="19"/>
      <c r="LBQ5" s="19"/>
      <c r="LBR5" s="19"/>
      <c r="LBS5" s="19"/>
      <c r="LBT5" s="19"/>
      <c r="LBU5" s="19"/>
      <c r="LBV5" s="19"/>
      <c r="LBW5" s="19"/>
      <c r="LBX5" s="19"/>
      <c r="LBY5" s="19"/>
      <c r="LBZ5" s="19"/>
      <c r="LCA5" s="19"/>
      <c r="LCB5" s="19"/>
      <c r="LCC5" s="19"/>
      <c r="LCD5" s="19"/>
      <c r="LCE5" s="19"/>
      <c r="LCF5" s="19"/>
      <c r="LCG5" s="19"/>
      <c r="LCH5" s="19"/>
      <c r="LCI5" s="19"/>
      <c r="LCJ5" s="19"/>
      <c r="LCK5" s="19"/>
      <c r="LCL5" s="19"/>
      <c r="LCM5" s="19"/>
      <c r="LCN5" s="19"/>
      <c r="LCO5" s="19"/>
      <c r="LCP5" s="19"/>
      <c r="LCQ5" s="19"/>
      <c r="LCR5" s="19"/>
      <c r="LCS5" s="19"/>
      <c r="LCT5" s="19"/>
      <c r="LCU5" s="19"/>
      <c r="LCV5" s="19"/>
      <c r="LCW5" s="19"/>
      <c r="LCX5" s="19"/>
      <c r="LCY5" s="19"/>
      <c r="LCZ5" s="19"/>
      <c r="LDA5" s="19"/>
      <c r="LDB5" s="19"/>
      <c r="LDC5" s="19"/>
      <c r="LDD5" s="19"/>
      <c r="LDE5" s="19"/>
      <c r="LDF5" s="19"/>
      <c r="LDG5" s="19"/>
      <c r="LDH5" s="19"/>
      <c r="LDI5" s="19"/>
      <c r="LDJ5" s="19"/>
      <c r="LDK5" s="19"/>
      <c r="LDL5" s="19"/>
      <c r="LDM5" s="19"/>
      <c r="LDN5" s="19"/>
      <c r="LDO5" s="19"/>
      <c r="LDP5" s="19"/>
      <c r="LDQ5" s="19"/>
      <c r="LDR5" s="19"/>
      <c r="LDS5" s="19"/>
      <c r="LDT5" s="19"/>
      <c r="LDU5" s="19"/>
      <c r="LDV5" s="19"/>
      <c r="LDW5" s="19"/>
      <c r="LDX5" s="19"/>
      <c r="LDY5" s="19"/>
      <c r="LDZ5" s="19"/>
      <c r="LEA5" s="19"/>
      <c r="LEB5" s="19"/>
      <c r="LEC5" s="19"/>
      <c r="LED5" s="19"/>
      <c r="LEE5" s="19"/>
      <c r="LEF5" s="19"/>
      <c r="LEG5" s="19"/>
      <c r="LEH5" s="19"/>
      <c r="LEI5" s="19"/>
      <c r="LEJ5" s="19"/>
      <c r="LEK5" s="19"/>
      <c r="LEL5" s="19"/>
      <c r="LEM5" s="19"/>
      <c r="LEN5" s="19"/>
      <c r="LEO5" s="19"/>
      <c r="LEP5" s="19"/>
      <c r="LEQ5" s="19"/>
      <c r="LER5" s="19"/>
      <c r="LES5" s="19"/>
      <c r="LET5" s="19"/>
      <c r="LEU5" s="19"/>
      <c r="LEV5" s="19"/>
      <c r="LEW5" s="19"/>
      <c r="LEX5" s="19"/>
      <c r="LEY5" s="19"/>
      <c r="LEZ5" s="19"/>
      <c r="LFA5" s="19"/>
      <c r="LFB5" s="19"/>
      <c r="LFC5" s="19"/>
      <c r="LFD5" s="19"/>
      <c r="LFE5" s="19"/>
      <c r="LFF5" s="19"/>
      <c r="LFG5" s="19"/>
      <c r="LFH5" s="19"/>
      <c r="LFI5" s="19"/>
      <c r="LFJ5" s="19"/>
      <c r="LFK5" s="19"/>
      <c r="LFL5" s="19"/>
      <c r="LFM5" s="19"/>
      <c r="LFN5" s="19"/>
      <c r="LFO5" s="19"/>
      <c r="LFP5" s="19"/>
      <c r="LFQ5" s="19"/>
      <c r="LFR5" s="19"/>
      <c r="LFS5" s="19"/>
      <c r="LFT5" s="19"/>
      <c r="LFU5" s="19"/>
      <c r="LFV5" s="19"/>
      <c r="LFW5" s="19"/>
      <c r="LFX5" s="19"/>
      <c r="LFY5" s="19"/>
      <c r="LFZ5" s="19"/>
      <c r="LGA5" s="19"/>
      <c r="LGB5" s="19"/>
      <c r="LGC5" s="19"/>
      <c r="LGD5" s="19"/>
      <c r="LGE5" s="19"/>
      <c r="LGF5" s="19"/>
      <c r="LGG5" s="19"/>
      <c r="LGH5" s="19"/>
      <c r="LGI5" s="19"/>
      <c r="LGJ5" s="19"/>
      <c r="LGK5" s="19"/>
      <c r="LGL5" s="19"/>
      <c r="LGM5" s="19"/>
      <c r="LGN5" s="19"/>
      <c r="LGO5" s="19"/>
      <c r="LGP5" s="19"/>
      <c r="LGQ5" s="19"/>
      <c r="LGR5" s="19"/>
      <c r="LGS5" s="19"/>
      <c r="LGT5" s="19"/>
      <c r="LGU5" s="19"/>
      <c r="LGV5" s="19"/>
      <c r="LGW5" s="19"/>
      <c r="LGX5" s="19"/>
      <c r="LGY5" s="19"/>
      <c r="LGZ5" s="19"/>
      <c r="LHA5" s="19"/>
      <c r="LHB5" s="19"/>
      <c r="LHC5" s="19"/>
      <c r="LHD5" s="19"/>
      <c r="LHE5" s="19"/>
      <c r="LHF5" s="19"/>
      <c r="LHG5" s="19"/>
      <c r="LHH5" s="19"/>
      <c r="LHI5" s="19"/>
      <c r="LHJ5" s="19"/>
      <c r="LHK5" s="19"/>
      <c r="LHL5" s="19"/>
      <c r="LHM5" s="19"/>
      <c r="LHN5" s="19"/>
      <c r="LHO5" s="19"/>
      <c r="LHP5" s="19"/>
      <c r="LHQ5" s="19"/>
      <c r="LHR5" s="19"/>
      <c r="LHS5" s="19"/>
      <c r="LHT5" s="19"/>
      <c r="LHU5" s="19"/>
      <c r="LHV5" s="19"/>
      <c r="LHW5" s="19"/>
      <c r="LHX5" s="19"/>
      <c r="LHY5" s="19"/>
      <c r="LHZ5" s="19"/>
      <c r="LIA5" s="19"/>
      <c r="LIB5" s="19"/>
      <c r="LIC5" s="19"/>
      <c r="LID5" s="19"/>
      <c r="LIE5" s="19"/>
      <c r="LIF5" s="19"/>
      <c r="LIG5" s="19"/>
      <c r="LIH5" s="19"/>
      <c r="LII5" s="19"/>
      <c r="LIJ5" s="19"/>
      <c r="LIK5" s="19"/>
      <c r="LIL5" s="19"/>
      <c r="LIM5" s="19"/>
      <c r="LIN5" s="19"/>
      <c r="LIO5" s="19"/>
      <c r="LIP5" s="19"/>
      <c r="LIQ5" s="19"/>
      <c r="LIR5" s="19"/>
      <c r="LIS5" s="19"/>
      <c r="LIT5" s="19"/>
      <c r="LIU5" s="19"/>
      <c r="LIV5" s="19"/>
      <c r="LIW5" s="19"/>
      <c r="LIX5" s="19"/>
      <c r="LIY5" s="19"/>
      <c r="LIZ5" s="19"/>
      <c r="LJA5" s="19"/>
      <c r="LJB5" s="19"/>
      <c r="LJC5" s="19"/>
      <c r="LJD5" s="19"/>
      <c r="LJE5" s="19"/>
      <c r="LJF5" s="19"/>
      <c r="LJG5" s="19"/>
      <c r="LJH5" s="19"/>
      <c r="LJI5" s="19"/>
      <c r="LJJ5" s="19"/>
      <c r="LJK5" s="19"/>
      <c r="LJL5" s="19"/>
      <c r="LJM5" s="19"/>
      <c r="LJN5" s="19"/>
      <c r="LJO5" s="19"/>
      <c r="LJP5" s="19"/>
      <c r="LJQ5" s="19"/>
      <c r="LJR5" s="19"/>
      <c r="LJS5" s="19"/>
      <c r="LJT5" s="19"/>
      <c r="LJU5" s="19"/>
      <c r="LJV5" s="19"/>
      <c r="LJW5" s="19"/>
      <c r="LJX5" s="19"/>
      <c r="LJY5" s="19"/>
      <c r="LJZ5" s="19"/>
      <c r="LKA5" s="19"/>
      <c r="LKB5" s="19"/>
      <c r="LKC5" s="19"/>
      <c r="LKD5" s="19"/>
      <c r="LKE5" s="19"/>
      <c r="LKF5" s="19"/>
      <c r="LKG5" s="19"/>
      <c r="LKH5" s="19"/>
      <c r="LKI5" s="19"/>
      <c r="LKJ5" s="19"/>
      <c r="LKK5" s="19"/>
      <c r="LKL5" s="19"/>
      <c r="LKM5" s="19"/>
      <c r="LKN5" s="19"/>
      <c r="LKO5" s="19"/>
      <c r="LKP5" s="19"/>
      <c r="LKQ5" s="19"/>
      <c r="LKR5" s="19"/>
      <c r="LKS5" s="19"/>
      <c r="LKT5" s="19"/>
      <c r="LKU5" s="19"/>
      <c r="LKV5" s="19"/>
      <c r="LKW5" s="19"/>
      <c r="LKX5" s="19"/>
      <c r="LKY5" s="19"/>
      <c r="LKZ5" s="19"/>
      <c r="LLA5" s="19"/>
      <c r="LLB5" s="19"/>
      <c r="LLC5" s="19"/>
      <c r="LLD5" s="19"/>
      <c r="LLE5" s="19"/>
      <c r="LLF5" s="19"/>
      <c r="LLG5" s="19"/>
      <c r="LLH5" s="19"/>
      <c r="LLI5" s="19"/>
      <c r="LLJ5" s="19"/>
      <c r="LLK5" s="19"/>
      <c r="LLL5" s="19"/>
      <c r="LLM5" s="19"/>
      <c r="LLN5" s="19"/>
      <c r="LLO5" s="19"/>
      <c r="LLP5" s="19"/>
      <c r="LLQ5" s="19"/>
      <c r="LLR5" s="19"/>
      <c r="LLS5" s="19"/>
      <c r="LLT5" s="19"/>
      <c r="LLU5" s="19"/>
      <c r="LLV5" s="19"/>
      <c r="LLW5" s="19"/>
      <c r="LLX5" s="19"/>
      <c r="LLY5" s="19"/>
      <c r="LLZ5" s="19"/>
      <c r="LMA5" s="19"/>
      <c r="LMB5" s="19"/>
      <c r="LMC5" s="19"/>
      <c r="LMD5" s="19"/>
      <c r="LME5" s="19"/>
      <c r="LMF5" s="19"/>
      <c r="LMG5" s="19"/>
      <c r="LMH5" s="19"/>
      <c r="LMI5" s="19"/>
      <c r="LMJ5" s="19"/>
      <c r="LMK5" s="19"/>
      <c r="LML5" s="19"/>
      <c r="LMM5" s="19"/>
      <c r="LMN5" s="19"/>
      <c r="LMO5" s="19"/>
      <c r="LMP5" s="19"/>
      <c r="LMQ5" s="19"/>
      <c r="LMR5" s="19"/>
      <c r="LMS5" s="19"/>
      <c r="LMT5" s="19"/>
      <c r="LMU5" s="19"/>
      <c r="LMV5" s="19"/>
      <c r="LMW5" s="19"/>
      <c r="LMX5" s="19"/>
      <c r="LMY5" s="19"/>
      <c r="LMZ5" s="19"/>
      <c r="LNA5" s="19"/>
      <c r="LNB5" s="19"/>
      <c r="LNC5" s="19"/>
      <c r="LND5" s="19"/>
      <c r="LNE5" s="19"/>
      <c r="LNF5" s="19"/>
      <c r="LNG5" s="19"/>
      <c r="LNH5" s="19"/>
      <c r="LNI5" s="19"/>
      <c r="LNJ5" s="19"/>
      <c r="LNK5" s="19"/>
      <c r="LNL5" s="19"/>
      <c r="LNM5" s="19"/>
      <c r="LNN5" s="19"/>
      <c r="LNO5" s="19"/>
      <c r="LNP5" s="19"/>
      <c r="LNQ5" s="19"/>
      <c r="LNR5" s="19"/>
      <c r="LNS5" s="19"/>
      <c r="LNT5" s="19"/>
      <c r="LNU5" s="19"/>
      <c r="LNV5" s="19"/>
      <c r="LNW5" s="19"/>
      <c r="LNX5" s="19"/>
      <c r="LNY5" s="19"/>
      <c r="LNZ5" s="19"/>
      <c r="LOA5" s="19"/>
      <c r="LOB5" s="19"/>
      <c r="LOC5" s="19"/>
      <c r="LOD5" s="19"/>
      <c r="LOE5" s="19"/>
      <c r="LOF5" s="19"/>
      <c r="LOG5" s="19"/>
      <c r="LOH5" s="19"/>
      <c r="LOI5" s="19"/>
      <c r="LOJ5" s="19"/>
      <c r="LOK5" s="19"/>
      <c r="LOL5" s="19"/>
      <c r="LOM5" s="19"/>
      <c r="LON5" s="19"/>
      <c r="LOO5" s="19"/>
      <c r="LOP5" s="19"/>
      <c r="LOQ5" s="19"/>
      <c r="LOR5" s="19"/>
      <c r="LOS5" s="19"/>
      <c r="LOT5" s="19"/>
      <c r="LOU5" s="19"/>
      <c r="LOV5" s="19"/>
      <c r="LOW5" s="19"/>
      <c r="LOX5" s="19"/>
      <c r="LOY5" s="19"/>
      <c r="LOZ5" s="19"/>
      <c r="LPA5" s="19"/>
      <c r="LPB5" s="19"/>
      <c r="LPC5" s="19"/>
      <c r="LPD5" s="19"/>
      <c r="LPE5" s="19"/>
      <c r="LPF5" s="19"/>
      <c r="LPG5" s="19"/>
      <c r="LPH5" s="19"/>
      <c r="LPI5" s="19"/>
      <c r="LPJ5" s="19"/>
      <c r="LPK5" s="19"/>
      <c r="LPL5" s="19"/>
      <c r="LPM5" s="19"/>
      <c r="LPN5" s="19"/>
      <c r="LPO5" s="19"/>
      <c r="LPP5" s="19"/>
      <c r="LPQ5" s="19"/>
      <c r="LPR5" s="19"/>
      <c r="LPS5" s="19"/>
      <c r="LPT5" s="19"/>
      <c r="LPU5" s="19"/>
      <c r="LPV5" s="19"/>
      <c r="LPW5" s="19"/>
      <c r="LPX5" s="19"/>
      <c r="LPY5" s="19"/>
      <c r="LPZ5" s="19"/>
      <c r="LQA5" s="19"/>
      <c r="LQB5" s="19"/>
      <c r="LQC5" s="19"/>
      <c r="LQD5" s="19"/>
      <c r="LQE5" s="19"/>
      <c r="LQF5" s="19"/>
      <c r="LQG5" s="19"/>
      <c r="LQH5" s="19"/>
      <c r="LQI5" s="19"/>
      <c r="LQJ5" s="19"/>
      <c r="LQK5" s="19"/>
      <c r="LQL5" s="19"/>
      <c r="LQM5" s="19"/>
      <c r="LQN5" s="19"/>
      <c r="LQO5" s="19"/>
      <c r="LQP5" s="19"/>
      <c r="LQQ5" s="19"/>
      <c r="LQR5" s="19"/>
      <c r="LQS5" s="19"/>
      <c r="LQT5" s="19"/>
      <c r="LQU5" s="19"/>
      <c r="LQV5" s="19"/>
      <c r="LQW5" s="19"/>
      <c r="LQX5" s="19"/>
      <c r="LQY5" s="19"/>
      <c r="LQZ5" s="19"/>
      <c r="LRA5" s="19"/>
      <c r="LRB5" s="19"/>
      <c r="LRC5" s="19"/>
      <c r="LRD5" s="19"/>
      <c r="LRE5" s="19"/>
      <c r="LRF5" s="19"/>
      <c r="LRG5" s="19"/>
      <c r="LRH5" s="19"/>
      <c r="LRI5" s="19"/>
      <c r="LRJ5" s="19"/>
      <c r="LRK5" s="19"/>
      <c r="LRL5" s="19"/>
      <c r="LRM5" s="19"/>
      <c r="LRN5" s="19"/>
      <c r="LRO5" s="19"/>
      <c r="LRP5" s="19"/>
      <c r="LRQ5" s="19"/>
      <c r="LRR5" s="19"/>
      <c r="LRS5" s="19"/>
      <c r="LRT5" s="19"/>
      <c r="LRU5" s="19"/>
      <c r="LRV5" s="19"/>
      <c r="LRW5" s="19"/>
      <c r="LRX5" s="19"/>
      <c r="LRY5" s="19"/>
      <c r="LRZ5" s="19"/>
      <c r="LSA5" s="19"/>
      <c r="LSB5" s="19"/>
      <c r="LSC5" s="19"/>
      <c r="LSD5" s="19"/>
      <c r="LSE5" s="19"/>
      <c r="LSF5" s="19"/>
      <c r="LSG5" s="19"/>
      <c r="LSH5" s="19"/>
      <c r="LSI5" s="19"/>
      <c r="LSJ5" s="19"/>
      <c r="LSK5" s="19"/>
      <c r="LSL5" s="19"/>
      <c r="LSM5" s="19"/>
      <c r="LSN5" s="19"/>
      <c r="LSO5" s="19"/>
      <c r="LSP5" s="19"/>
      <c r="LSQ5" s="19"/>
      <c r="LSR5" s="19"/>
      <c r="LSS5" s="19"/>
      <c r="LST5" s="19"/>
      <c r="LSU5" s="19"/>
      <c r="LSV5" s="19"/>
      <c r="LSW5" s="19"/>
      <c r="LSX5" s="19"/>
      <c r="LSY5" s="19"/>
      <c r="LSZ5" s="19"/>
      <c r="LTA5" s="19"/>
      <c r="LTB5" s="19"/>
      <c r="LTC5" s="19"/>
      <c r="LTD5" s="19"/>
      <c r="LTE5" s="19"/>
      <c r="LTF5" s="19"/>
      <c r="LTG5" s="19"/>
      <c r="LTH5" s="19"/>
      <c r="LTI5" s="19"/>
      <c r="LTJ5" s="19"/>
      <c r="LTK5" s="19"/>
      <c r="LTL5" s="19"/>
      <c r="LTM5" s="19"/>
      <c r="LTN5" s="19"/>
      <c r="LTO5" s="19"/>
      <c r="LTP5" s="19"/>
      <c r="LTQ5" s="19"/>
      <c r="LTR5" s="19"/>
      <c r="LTS5" s="19"/>
      <c r="LTT5" s="19"/>
      <c r="LTU5" s="19"/>
      <c r="LTV5" s="19"/>
      <c r="LTW5" s="19"/>
      <c r="LTX5" s="19"/>
      <c r="LTY5" s="19"/>
      <c r="LTZ5" s="19"/>
      <c r="LUA5" s="19"/>
      <c r="LUB5" s="19"/>
      <c r="LUC5" s="19"/>
      <c r="LUD5" s="19"/>
      <c r="LUE5" s="19"/>
      <c r="LUF5" s="19"/>
      <c r="LUG5" s="19"/>
      <c r="LUH5" s="19"/>
      <c r="LUI5" s="19"/>
      <c r="LUJ5" s="19"/>
      <c r="LUK5" s="19"/>
      <c r="LUL5" s="19"/>
      <c r="LUM5" s="19"/>
      <c r="LUN5" s="19"/>
      <c r="LUO5" s="19"/>
      <c r="LUP5" s="19"/>
      <c r="LUQ5" s="19"/>
      <c r="LUR5" s="19"/>
      <c r="LUS5" s="19"/>
      <c r="LUT5" s="19"/>
      <c r="LUU5" s="19"/>
      <c r="LUV5" s="19"/>
      <c r="LUW5" s="19"/>
      <c r="LUX5" s="19"/>
      <c r="LUY5" s="19"/>
      <c r="LUZ5" s="19"/>
      <c r="LVA5" s="19"/>
      <c r="LVB5" s="19"/>
      <c r="LVC5" s="19"/>
      <c r="LVD5" s="19"/>
      <c r="LVE5" s="19"/>
      <c r="LVF5" s="19"/>
      <c r="LVG5" s="19"/>
      <c r="LVH5" s="19"/>
      <c r="LVI5" s="19"/>
      <c r="LVJ5" s="19"/>
      <c r="LVK5" s="19"/>
      <c r="LVL5" s="19"/>
      <c r="LVM5" s="19"/>
      <c r="LVN5" s="19"/>
      <c r="LVO5" s="19"/>
      <c r="LVP5" s="19"/>
      <c r="LVQ5" s="19"/>
      <c r="LVR5" s="19"/>
      <c r="LVS5" s="19"/>
      <c r="LVT5" s="19"/>
      <c r="LVU5" s="19"/>
      <c r="LVV5" s="19"/>
      <c r="LVW5" s="19"/>
      <c r="LVX5" s="19"/>
      <c r="LVY5" s="19"/>
      <c r="LVZ5" s="19"/>
      <c r="LWA5" s="19"/>
      <c r="LWB5" s="19"/>
      <c r="LWC5" s="19"/>
      <c r="LWD5" s="19"/>
      <c r="LWE5" s="19"/>
      <c r="LWF5" s="19"/>
      <c r="LWG5" s="19"/>
      <c r="LWH5" s="19"/>
      <c r="LWI5" s="19"/>
      <c r="LWJ5" s="19"/>
      <c r="LWK5" s="19"/>
      <c r="LWL5" s="19"/>
      <c r="LWM5" s="19"/>
      <c r="LWN5" s="19"/>
      <c r="LWO5" s="19"/>
      <c r="LWP5" s="19"/>
      <c r="LWQ5" s="19"/>
      <c r="LWR5" s="19"/>
      <c r="LWS5" s="19"/>
      <c r="LWT5" s="19"/>
      <c r="LWU5" s="19"/>
      <c r="LWV5" s="19"/>
      <c r="LWW5" s="19"/>
      <c r="LWX5" s="19"/>
      <c r="LWY5" s="19"/>
      <c r="LWZ5" s="19"/>
      <c r="LXA5" s="19"/>
      <c r="LXB5" s="19"/>
      <c r="LXC5" s="19"/>
      <c r="LXD5" s="19"/>
      <c r="LXE5" s="19"/>
      <c r="LXF5" s="19"/>
      <c r="LXG5" s="19"/>
      <c r="LXH5" s="19"/>
      <c r="LXI5" s="19"/>
      <c r="LXJ5" s="19"/>
      <c r="LXK5" s="19"/>
      <c r="LXL5" s="19"/>
      <c r="LXM5" s="19"/>
      <c r="LXN5" s="19"/>
      <c r="LXO5" s="19"/>
      <c r="LXP5" s="19"/>
      <c r="LXQ5" s="19"/>
      <c r="LXR5" s="19"/>
      <c r="LXS5" s="19"/>
      <c r="LXT5" s="19"/>
      <c r="LXU5" s="19"/>
      <c r="LXV5" s="19"/>
      <c r="LXW5" s="19"/>
      <c r="LXX5" s="19"/>
      <c r="LXY5" s="19"/>
      <c r="LXZ5" s="19"/>
      <c r="LYA5" s="19"/>
      <c r="LYB5" s="19"/>
      <c r="LYC5" s="19"/>
      <c r="LYD5" s="19"/>
      <c r="LYE5" s="19"/>
      <c r="LYF5" s="19"/>
      <c r="LYG5" s="19"/>
      <c r="LYH5" s="19"/>
      <c r="LYI5" s="19"/>
      <c r="LYJ5" s="19"/>
      <c r="LYK5" s="19"/>
      <c r="LYL5" s="19"/>
      <c r="LYM5" s="19"/>
      <c r="LYN5" s="19"/>
      <c r="LYO5" s="19"/>
      <c r="LYP5" s="19"/>
      <c r="LYQ5" s="19"/>
      <c r="LYR5" s="19"/>
      <c r="LYS5" s="19"/>
      <c r="LYT5" s="19"/>
      <c r="LYU5" s="19"/>
      <c r="LYV5" s="19"/>
      <c r="LYW5" s="19"/>
      <c r="LYX5" s="19"/>
      <c r="LYY5" s="19"/>
      <c r="LYZ5" s="19"/>
      <c r="LZA5" s="19"/>
      <c r="LZB5" s="19"/>
      <c r="LZC5" s="19"/>
      <c r="LZD5" s="19"/>
      <c r="LZE5" s="19"/>
      <c r="LZF5" s="19"/>
      <c r="LZG5" s="19"/>
      <c r="LZH5" s="19"/>
      <c r="LZI5" s="19"/>
      <c r="LZJ5" s="19"/>
      <c r="LZK5" s="19"/>
      <c r="LZL5" s="19"/>
      <c r="LZM5" s="19"/>
      <c r="LZN5" s="19"/>
      <c r="LZO5" s="19"/>
      <c r="LZP5" s="19"/>
      <c r="LZQ5" s="19"/>
      <c r="LZR5" s="19"/>
      <c r="LZS5" s="19"/>
      <c r="LZT5" s="19"/>
      <c r="LZU5" s="19"/>
      <c r="LZV5" s="19"/>
      <c r="LZW5" s="19"/>
      <c r="LZX5" s="19"/>
      <c r="LZY5" s="19"/>
      <c r="LZZ5" s="19"/>
      <c r="MAA5" s="19"/>
      <c r="MAB5" s="19"/>
      <c r="MAC5" s="19"/>
      <c r="MAD5" s="19"/>
      <c r="MAE5" s="19"/>
      <c r="MAF5" s="19"/>
      <c r="MAG5" s="19"/>
      <c r="MAH5" s="19"/>
      <c r="MAI5" s="19"/>
      <c r="MAJ5" s="19"/>
      <c r="MAK5" s="19"/>
      <c r="MAL5" s="19"/>
      <c r="MAM5" s="19"/>
      <c r="MAN5" s="19"/>
      <c r="MAO5" s="19"/>
      <c r="MAP5" s="19"/>
      <c r="MAQ5" s="19"/>
      <c r="MAR5" s="19"/>
      <c r="MAS5" s="19"/>
      <c r="MAT5" s="19"/>
      <c r="MAU5" s="19"/>
      <c r="MAV5" s="19"/>
      <c r="MAW5" s="19"/>
      <c r="MAX5" s="19"/>
      <c r="MAY5" s="19"/>
      <c r="MAZ5" s="19"/>
      <c r="MBA5" s="19"/>
      <c r="MBB5" s="19"/>
      <c r="MBC5" s="19"/>
      <c r="MBD5" s="19"/>
      <c r="MBE5" s="19"/>
      <c r="MBF5" s="19"/>
      <c r="MBG5" s="19"/>
      <c r="MBH5" s="19"/>
      <c r="MBI5" s="19"/>
      <c r="MBJ5" s="19"/>
      <c r="MBK5" s="19"/>
      <c r="MBL5" s="19"/>
      <c r="MBM5" s="19"/>
      <c r="MBN5" s="19"/>
      <c r="MBO5" s="19"/>
      <c r="MBP5" s="19"/>
      <c r="MBQ5" s="19"/>
      <c r="MBR5" s="19"/>
      <c r="MBS5" s="19"/>
      <c r="MBT5" s="19"/>
      <c r="MBU5" s="19"/>
      <c r="MBV5" s="19"/>
      <c r="MBW5" s="19"/>
      <c r="MBX5" s="19"/>
      <c r="MBY5" s="19"/>
      <c r="MBZ5" s="19"/>
      <c r="MCA5" s="19"/>
      <c r="MCB5" s="19"/>
      <c r="MCC5" s="19"/>
      <c r="MCD5" s="19"/>
      <c r="MCE5" s="19"/>
      <c r="MCF5" s="19"/>
      <c r="MCG5" s="19"/>
      <c r="MCH5" s="19"/>
      <c r="MCI5" s="19"/>
      <c r="MCJ5" s="19"/>
      <c r="MCK5" s="19"/>
      <c r="MCL5" s="19"/>
      <c r="MCM5" s="19"/>
      <c r="MCN5" s="19"/>
      <c r="MCO5" s="19"/>
      <c r="MCP5" s="19"/>
      <c r="MCQ5" s="19"/>
      <c r="MCR5" s="19"/>
      <c r="MCS5" s="19"/>
      <c r="MCT5" s="19"/>
      <c r="MCU5" s="19"/>
      <c r="MCV5" s="19"/>
      <c r="MCW5" s="19"/>
      <c r="MCX5" s="19"/>
      <c r="MCY5" s="19"/>
      <c r="MCZ5" s="19"/>
      <c r="MDA5" s="19"/>
      <c r="MDB5" s="19"/>
      <c r="MDC5" s="19"/>
      <c r="MDD5" s="19"/>
      <c r="MDE5" s="19"/>
      <c r="MDF5" s="19"/>
      <c r="MDG5" s="19"/>
      <c r="MDH5" s="19"/>
      <c r="MDI5" s="19"/>
      <c r="MDJ5" s="19"/>
      <c r="MDK5" s="19"/>
      <c r="MDL5" s="19"/>
      <c r="MDM5" s="19"/>
      <c r="MDN5" s="19"/>
      <c r="MDO5" s="19"/>
      <c r="MDP5" s="19"/>
      <c r="MDQ5" s="19"/>
      <c r="MDR5" s="19"/>
      <c r="MDS5" s="19"/>
      <c r="MDT5" s="19"/>
      <c r="MDU5" s="19"/>
      <c r="MDV5" s="19"/>
      <c r="MDW5" s="19"/>
      <c r="MDX5" s="19"/>
      <c r="MDY5" s="19"/>
      <c r="MDZ5" s="19"/>
      <c r="MEA5" s="19"/>
      <c r="MEB5" s="19"/>
      <c r="MEC5" s="19"/>
      <c r="MED5" s="19"/>
      <c r="MEE5" s="19"/>
      <c r="MEF5" s="19"/>
      <c r="MEG5" s="19"/>
      <c r="MEH5" s="19"/>
      <c r="MEI5" s="19"/>
      <c r="MEJ5" s="19"/>
      <c r="MEK5" s="19"/>
      <c r="MEL5" s="19"/>
      <c r="MEM5" s="19"/>
      <c r="MEN5" s="19"/>
      <c r="MEO5" s="19"/>
      <c r="MEP5" s="19"/>
      <c r="MEQ5" s="19"/>
      <c r="MER5" s="19"/>
      <c r="MES5" s="19"/>
      <c r="MET5" s="19"/>
      <c r="MEU5" s="19"/>
      <c r="MEV5" s="19"/>
      <c r="MEW5" s="19"/>
      <c r="MEX5" s="19"/>
      <c r="MEY5" s="19"/>
      <c r="MEZ5" s="19"/>
      <c r="MFA5" s="19"/>
      <c r="MFB5" s="19"/>
      <c r="MFC5" s="19"/>
      <c r="MFD5" s="19"/>
      <c r="MFE5" s="19"/>
      <c r="MFF5" s="19"/>
      <c r="MFG5" s="19"/>
      <c r="MFH5" s="19"/>
      <c r="MFI5" s="19"/>
      <c r="MFJ5" s="19"/>
      <c r="MFK5" s="19"/>
      <c r="MFL5" s="19"/>
      <c r="MFM5" s="19"/>
      <c r="MFN5" s="19"/>
      <c r="MFO5" s="19"/>
      <c r="MFP5" s="19"/>
      <c r="MFQ5" s="19"/>
      <c r="MFR5" s="19"/>
      <c r="MFS5" s="19"/>
      <c r="MFT5" s="19"/>
      <c r="MFU5" s="19"/>
      <c r="MFV5" s="19"/>
      <c r="MFW5" s="19"/>
      <c r="MFX5" s="19"/>
      <c r="MFY5" s="19"/>
      <c r="MFZ5" s="19"/>
      <c r="MGA5" s="19"/>
      <c r="MGB5" s="19"/>
      <c r="MGC5" s="19"/>
      <c r="MGD5" s="19"/>
      <c r="MGE5" s="19"/>
      <c r="MGF5" s="19"/>
      <c r="MGG5" s="19"/>
      <c r="MGH5" s="19"/>
      <c r="MGI5" s="19"/>
      <c r="MGJ5" s="19"/>
      <c r="MGK5" s="19"/>
      <c r="MGL5" s="19"/>
      <c r="MGM5" s="19"/>
      <c r="MGN5" s="19"/>
      <c r="MGO5" s="19"/>
      <c r="MGP5" s="19"/>
      <c r="MGQ5" s="19"/>
      <c r="MGR5" s="19"/>
      <c r="MGS5" s="19"/>
      <c r="MGT5" s="19"/>
      <c r="MGU5" s="19"/>
      <c r="MGV5" s="19"/>
      <c r="MGW5" s="19"/>
      <c r="MGX5" s="19"/>
      <c r="MGY5" s="19"/>
      <c r="MGZ5" s="19"/>
      <c r="MHA5" s="19"/>
      <c r="MHB5" s="19"/>
      <c r="MHC5" s="19"/>
      <c r="MHD5" s="19"/>
      <c r="MHE5" s="19"/>
      <c r="MHF5" s="19"/>
      <c r="MHG5" s="19"/>
      <c r="MHH5" s="19"/>
      <c r="MHI5" s="19"/>
      <c r="MHJ5" s="19"/>
      <c r="MHK5" s="19"/>
      <c r="MHL5" s="19"/>
      <c r="MHM5" s="19"/>
      <c r="MHN5" s="19"/>
      <c r="MHO5" s="19"/>
      <c r="MHP5" s="19"/>
      <c r="MHQ5" s="19"/>
      <c r="MHR5" s="19"/>
      <c r="MHS5" s="19"/>
      <c r="MHT5" s="19"/>
      <c r="MHU5" s="19"/>
      <c r="MHV5" s="19"/>
      <c r="MHW5" s="19"/>
      <c r="MHX5" s="19"/>
      <c r="MHY5" s="19"/>
      <c r="MHZ5" s="19"/>
      <c r="MIA5" s="19"/>
      <c r="MIB5" s="19"/>
      <c r="MIC5" s="19"/>
      <c r="MID5" s="19"/>
      <c r="MIE5" s="19"/>
      <c r="MIF5" s="19"/>
      <c r="MIG5" s="19"/>
      <c r="MIH5" s="19"/>
      <c r="MII5" s="19"/>
      <c r="MIJ5" s="19"/>
      <c r="MIK5" s="19"/>
      <c r="MIL5" s="19"/>
      <c r="MIM5" s="19"/>
      <c r="MIN5" s="19"/>
      <c r="MIO5" s="19"/>
      <c r="MIP5" s="19"/>
      <c r="MIQ5" s="19"/>
      <c r="MIR5" s="19"/>
      <c r="MIS5" s="19"/>
      <c r="MIT5" s="19"/>
      <c r="MIU5" s="19"/>
      <c r="MIV5" s="19"/>
      <c r="MIW5" s="19"/>
      <c r="MIX5" s="19"/>
      <c r="MIY5" s="19"/>
      <c r="MIZ5" s="19"/>
      <c r="MJA5" s="19"/>
      <c r="MJB5" s="19"/>
      <c r="MJC5" s="19"/>
      <c r="MJD5" s="19"/>
      <c r="MJE5" s="19"/>
      <c r="MJF5" s="19"/>
      <c r="MJG5" s="19"/>
      <c r="MJH5" s="19"/>
      <c r="MJI5" s="19"/>
      <c r="MJJ5" s="19"/>
      <c r="MJK5" s="19"/>
      <c r="MJL5" s="19"/>
      <c r="MJM5" s="19"/>
      <c r="MJN5" s="19"/>
      <c r="MJO5" s="19"/>
      <c r="MJP5" s="19"/>
      <c r="MJQ5" s="19"/>
      <c r="MJR5" s="19"/>
      <c r="MJS5" s="19"/>
      <c r="MJT5" s="19"/>
      <c r="MJU5" s="19"/>
      <c r="MJV5" s="19"/>
      <c r="MJW5" s="19"/>
      <c r="MJX5" s="19"/>
      <c r="MJY5" s="19"/>
      <c r="MJZ5" s="19"/>
      <c r="MKA5" s="19"/>
      <c r="MKB5" s="19"/>
      <c r="MKC5" s="19"/>
      <c r="MKD5" s="19"/>
      <c r="MKE5" s="19"/>
      <c r="MKF5" s="19"/>
      <c r="MKG5" s="19"/>
      <c r="MKH5" s="19"/>
      <c r="MKI5" s="19"/>
      <c r="MKJ5" s="19"/>
      <c r="MKK5" s="19"/>
      <c r="MKL5" s="19"/>
      <c r="MKM5" s="19"/>
      <c r="MKN5" s="19"/>
      <c r="MKO5" s="19"/>
      <c r="MKP5" s="19"/>
      <c r="MKQ5" s="19"/>
      <c r="MKR5" s="19"/>
      <c r="MKS5" s="19"/>
      <c r="MKT5" s="19"/>
      <c r="MKU5" s="19"/>
      <c r="MKV5" s="19"/>
      <c r="MKW5" s="19"/>
      <c r="MKX5" s="19"/>
      <c r="MKY5" s="19"/>
      <c r="MKZ5" s="19"/>
      <c r="MLA5" s="19"/>
      <c r="MLB5" s="19"/>
      <c r="MLC5" s="19"/>
      <c r="MLD5" s="19"/>
      <c r="MLE5" s="19"/>
      <c r="MLF5" s="19"/>
      <c r="MLG5" s="19"/>
      <c r="MLH5" s="19"/>
      <c r="MLI5" s="19"/>
      <c r="MLJ5" s="19"/>
      <c r="MLK5" s="19"/>
      <c r="MLL5" s="19"/>
      <c r="MLM5" s="19"/>
      <c r="MLN5" s="19"/>
      <c r="MLO5" s="19"/>
      <c r="MLP5" s="19"/>
      <c r="MLQ5" s="19"/>
      <c r="MLR5" s="19"/>
      <c r="MLS5" s="19"/>
      <c r="MLT5" s="19"/>
      <c r="MLU5" s="19"/>
      <c r="MLV5" s="19"/>
      <c r="MLW5" s="19"/>
      <c r="MLX5" s="19"/>
      <c r="MLY5" s="19"/>
      <c r="MLZ5" s="19"/>
      <c r="MMA5" s="19"/>
      <c r="MMB5" s="19"/>
      <c r="MMC5" s="19"/>
      <c r="MMD5" s="19"/>
      <c r="MME5" s="19"/>
      <c r="MMF5" s="19"/>
      <c r="MMG5" s="19"/>
      <c r="MMH5" s="19"/>
      <c r="MMI5" s="19"/>
      <c r="MMJ5" s="19"/>
      <c r="MMK5" s="19"/>
      <c r="MML5" s="19"/>
      <c r="MMM5" s="19"/>
      <c r="MMN5" s="19"/>
      <c r="MMO5" s="19"/>
      <c r="MMP5" s="19"/>
      <c r="MMQ5" s="19"/>
      <c r="MMR5" s="19"/>
      <c r="MMS5" s="19"/>
      <c r="MMT5" s="19"/>
      <c r="MMU5" s="19"/>
      <c r="MMV5" s="19"/>
      <c r="MMW5" s="19"/>
      <c r="MMX5" s="19"/>
      <c r="MMY5" s="19"/>
      <c r="MMZ5" s="19"/>
      <c r="MNA5" s="19"/>
      <c r="MNB5" s="19"/>
      <c r="MNC5" s="19"/>
      <c r="MND5" s="19"/>
      <c r="MNE5" s="19"/>
      <c r="MNF5" s="19"/>
      <c r="MNG5" s="19"/>
      <c r="MNH5" s="19"/>
      <c r="MNI5" s="19"/>
      <c r="MNJ5" s="19"/>
      <c r="MNK5" s="19"/>
      <c r="MNL5" s="19"/>
      <c r="MNM5" s="19"/>
      <c r="MNN5" s="19"/>
      <c r="MNO5" s="19"/>
      <c r="MNP5" s="19"/>
      <c r="MNQ5" s="19"/>
      <c r="MNR5" s="19"/>
      <c r="MNS5" s="19"/>
      <c r="MNT5" s="19"/>
      <c r="MNU5" s="19"/>
      <c r="MNV5" s="19"/>
      <c r="MNW5" s="19"/>
      <c r="MNX5" s="19"/>
      <c r="MNY5" s="19"/>
      <c r="MNZ5" s="19"/>
      <c r="MOA5" s="19"/>
      <c r="MOB5" s="19"/>
      <c r="MOC5" s="19"/>
      <c r="MOD5" s="19"/>
      <c r="MOE5" s="19"/>
      <c r="MOF5" s="19"/>
      <c r="MOG5" s="19"/>
      <c r="MOH5" s="19"/>
      <c r="MOI5" s="19"/>
      <c r="MOJ5" s="19"/>
      <c r="MOK5" s="19"/>
      <c r="MOL5" s="19"/>
      <c r="MOM5" s="19"/>
      <c r="MON5" s="19"/>
      <c r="MOO5" s="19"/>
      <c r="MOP5" s="19"/>
      <c r="MOQ5" s="19"/>
      <c r="MOR5" s="19"/>
      <c r="MOS5" s="19"/>
      <c r="MOT5" s="19"/>
      <c r="MOU5" s="19"/>
      <c r="MOV5" s="19"/>
      <c r="MOW5" s="19"/>
      <c r="MOX5" s="19"/>
      <c r="MOY5" s="19"/>
      <c r="MOZ5" s="19"/>
      <c r="MPA5" s="19"/>
      <c r="MPB5" s="19"/>
      <c r="MPC5" s="19"/>
      <c r="MPD5" s="19"/>
      <c r="MPE5" s="19"/>
      <c r="MPF5" s="19"/>
      <c r="MPG5" s="19"/>
      <c r="MPH5" s="19"/>
      <c r="MPI5" s="19"/>
      <c r="MPJ5" s="19"/>
      <c r="MPK5" s="19"/>
      <c r="MPL5" s="19"/>
      <c r="MPM5" s="19"/>
      <c r="MPN5" s="19"/>
      <c r="MPO5" s="19"/>
      <c r="MPP5" s="19"/>
      <c r="MPQ5" s="19"/>
      <c r="MPR5" s="19"/>
      <c r="MPS5" s="19"/>
      <c r="MPT5" s="19"/>
      <c r="MPU5" s="19"/>
      <c r="MPV5" s="19"/>
      <c r="MPW5" s="19"/>
      <c r="MPX5" s="19"/>
      <c r="MPY5" s="19"/>
      <c r="MPZ5" s="19"/>
      <c r="MQA5" s="19"/>
      <c r="MQB5" s="19"/>
      <c r="MQC5" s="19"/>
      <c r="MQD5" s="19"/>
      <c r="MQE5" s="19"/>
      <c r="MQF5" s="19"/>
      <c r="MQG5" s="19"/>
      <c r="MQH5" s="19"/>
      <c r="MQI5" s="19"/>
      <c r="MQJ5" s="19"/>
      <c r="MQK5" s="19"/>
      <c r="MQL5" s="19"/>
      <c r="MQM5" s="19"/>
      <c r="MQN5" s="19"/>
      <c r="MQO5" s="19"/>
      <c r="MQP5" s="19"/>
      <c r="MQQ5" s="19"/>
      <c r="MQR5" s="19"/>
      <c r="MQS5" s="19"/>
      <c r="MQT5" s="19"/>
      <c r="MQU5" s="19"/>
      <c r="MQV5" s="19"/>
      <c r="MQW5" s="19"/>
      <c r="MQX5" s="19"/>
      <c r="MQY5" s="19"/>
      <c r="MQZ5" s="19"/>
      <c r="MRA5" s="19"/>
      <c r="MRB5" s="19"/>
      <c r="MRC5" s="19"/>
      <c r="MRD5" s="19"/>
      <c r="MRE5" s="19"/>
      <c r="MRF5" s="19"/>
      <c r="MRG5" s="19"/>
      <c r="MRH5" s="19"/>
      <c r="MRI5" s="19"/>
      <c r="MRJ5" s="19"/>
      <c r="MRK5" s="19"/>
      <c r="MRL5" s="19"/>
      <c r="MRM5" s="19"/>
      <c r="MRN5" s="19"/>
      <c r="MRO5" s="19"/>
      <c r="MRP5" s="19"/>
      <c r="MRQ5" s="19"/>
      <c r="MRR5" s="19"/>
      <c r="MRS5" s="19"/>
      <c r="MRT5" s="19"/>
      <c r="MRU5" s="19"/>
      <c r="MRV5" s="19"/>
      <c r="MRW5" s="19"/>
      <c r="MRX5" s="19"/>
      <c r="MRY5" s="19"/>
      <c r="MRZ5" s="19"/>
      <c r="MSA5" s="19"/>
      <c r="MSB5" s="19"/>
      <c r="MSC5" s="19"/>
      <c r="MSD5" s="19"/>
      <c r="MSE5" s="19"/>
      <c r="MSF5" s="19"/>
      <c r="MSG5" s="19"/>
      <c r="MSH5" s="19"/>
      <c r="MSI5" s="19"/>
      <c r="MSJ5" s="19"/>
      <c r="MSK5" s="19"/>
      <c r="MSL5" s="19"/>
      <c r="MSM5" s="19"/>
      <c r="MSN5" s="19"/>
      <c r="MSO5" s="19"/>
      <c r="MSP5" s="19"/>
      <c r="MSQ5" s="19"/>
      <c r="MSR5" s="19"/>
      <c r="MSS5" s="19"/>
      <c r="MST5" s="19"/>
      <c r="MSU5" s="19"/>
      <c r="MSV5" s="19"/>
      <c r="MSW5" s="19"/>
      <c r="MSX5" s="19"/>
      <c r="MSY5" s="19"/>
      <c r="MSZ5" s="19"/>
      <c r="MTA5" s="19"/>
      <c r="MTB5" s="19"/>
      <c r="MTC5" s="19"/>
      <c r="MTD5" s="19"/>
      <c r="MTE5" s="19"/>
      <c r="MTF5" s="19"/>
      <c r="MTG5" s="19"/>
      <c r="MTH5" s="19"/>
      <c r="MTI5" s="19"/>
      <c r="MTJ5" s="19"/>
      <c r="MTK5" s="19"/>
      <c r="MTL5" s="19"/>
      <c r="MTM5" s="19"/>
      <c r="MTN5" s="19"/>
      <c r="MTO5" s="19"/>
      <c r="MTP5" s="19"/>
      <c r="MTQ5" s="19"/>
      <c r="MTR5" s="19"/>
      <c r="MTS5" s="19"/>
      <c r="MTT5" s="19"/>
      <c r="MTU5" s="19"/>
      <c r="MTV5" s="19"/>
      <c r="MTW5" s="19"/>
      <c r="MTX5" s="19"/>
      <c r="MTY5" s="19"/>
      <c r="MTZ5" s="19"/>
      <c r="MUA5" s="19"/>
      <c r="MUB5" s="19"/>
      <c r="MUC5" s="19"/>
      <c r="MUD5" s="19"/>
      <c r="MUE5" s="19"/>
      <c r="MUF5" s="19"/>
      <c r="MUG5" s="19"/>
      <c r="MUH5" s="19"/>
      <c r="MUI5" s="19"/>
      <c r="MUJ5" s="19"/>
      <c r="MUK5" s="19"/>
      <c r="MUL5" s="19"/>
      <c r="MUM5" s="19"/>
      <c r="MUN5" s="19"/>
      <c r="MUO5" s="19"/>
      <c r="MUP5" s="19"/>
      <c r="MUQ5" s="19"/>
      <c r="MUR5" s="19"/>
      <c r="MUS5" s="19"/>
      <c r="MUT5" s="19"/>
      <c r="MUU5" s="19"/>
      <c r="MUV5" s="19"/>
      <c r="MUW5" s="19"/>
      <c r="MUX5" s="19"/>
      <c r="MUY5" s="19"/>
      <c r="MUZ5" s="19"/>
      <c r="MVA5" s="19"/>
      <c r="MVB5" s="19"/>
      <c r="MVC5" s="19"/>
      <c r="MVD5" s="19"/>
      <c r="MVE5" s="19"/>
      <c r="MVF5" s="19"/>
      <c r="MVG5" s="19"/>
      <c r="MVH5" s="19"/>
      <c r="MVI5" s="19"/>
      <c r="MVJ5" s="19"/>
      <c r="MVK5" s="19"/>
      <c r="MVL5" s="19"/>
      <c r="MVM5" s="19"/>
      <c r="MVN5" s="19"/>
      <c r="MVO5" s="19"/>
      <c r="MVP5" s="19"/>
      <c r="MVQ5" s="19"/>
      <c r="MVR5" s="19"/>
      <c r="MVS5" s="19"/>
      <c r="MVT5" s="19"/>
      <c r="MVU5" s="19"/>
      <c r="MVV5" s="19"/>
      <c r="MVW5" s="19"/>
      <c r="MVX5" s="19"/>
      <c r="MVY5" s="19"/>
      <c r="MVZ5" s="19"/>
      <c r="MWA5" s="19"/>
      <c r="MWB5" s="19"/>
      <c r="MWC5" s="19"/>
      <c r="MWD5" s="19"/>
      <c r="MWE5" s="19"/>
      <c r="MWF5" s="19"/>
      <c r="MWG5" s="19"/>
      <c r="MWH5" s="19"/>
      <c r="MWI5" s="19"/>
      <c r="MWJ5" s="19"/>
      <c r="MWK5" s="19"/>
      <c r="MWL5" s="19"/>
      <c r="MWM5" s="19"/>
      <c r="MWN5" s="19"/>
      <c r="MWO5" s="19"/>
      <c r="MWP5" s="19"/>
      <c r="MWQ5" s="19"/>
      <c r="MWR5" s="19"/>
      <c r="MWS5" s="19"/>
      <c r="MWT5" s="19"/>
      <c r="MWU5" s="19"/>
      <c r="MWV5" s="19"/>
      <c r="MWW5" s="19"/>
      <c r="MWX5" s="19"/>
      <c r="MWY5" s="19"/>
      <c r="MWZ5" s="19"/>
      <c r="MXA5" s="19"/>
      <c r="MXB5" s="19"/>
      <c r="MXC5" s="19"/>
      <c r="MXD5" s="19"/>
      <c r="MXE5" s="19"/>
      <c r="MXF5" s="19"/>
      <c r="MXG5" s="19"/>
      <c r="MXH5" s="19"/>
      <c r="MXI5" s="19"/>
      <c r="MXJ5" s="19"/>
      <c r="MXK5" s="19"/>
      <c r="MXL5" s="19"/>
      <c r="MXM5" s="19"/>
      <c r="MXN5" s="19"/>
      <c r="MXO5" s="19"/>
      <c r="MXP5" s="19"/>
      <c r="MXQ5" s="19"/>
      <c r="MXR5" s="19"/>
      <c r="MXS5" s="19"/>
      <c r="MXT5" s="19"/>
      <c r="MXU5" s="19"/>
      <c r="MXV5" s="19"/>
      <c r="MXW5" s="19"/>
      <c r="MXX5" s="19"/>
      <c r="MXY5" s="19"/>
      <c r="MXZ5" s="19"/>
      <c r="MYA5" s="19"/>
      <c r="MYB5" s="19"/>
      <c r="MYC5" s="19"/>
      <c r="MYD5" s="19"/>
      <c r="MYE5" s="19"/>
      <c r="MYF5" s="19"/>
      <c r="MYG5" s="19"/>
      <c r="MYH5" s="19"/>
      <c r="MYI5" s="19"/>
      <c r="MYJ5" s="19"/>
      <c r="MYK5" s="19"/>
      <c r="MYL5" s="19"/>
      <c r="MYM5" s="19"/>
      <c r="MYN5" s="19"/>
      <c r="MYO5" s="19"/>
      <c r="MYP5" s="19"/>
      <c r="MYQ5" s="19"/>
      <c r="MYR5" s="19"/>
      <c r="MYS5" s="19"/>
      <c r="MYT5" s="19"/>
      <c r="MYU5" s="19"/>
      <c r="MYV5" s="19"/>
      <c r="MYW5" s="19"/>
      <c r="MYX5" s="19"/>
      <c r="MYY5" s="19"/>
      <c r="MYZ5" s="19"/>
      <c r="MZA5" s="19"/>
      <c r="MZB5" s="19"/>
      <c r="MZC5" s="19"/>
      <c r="MZD5" s="19"/>
      <c r="MZE5" s="19"/>
      <c r="MZF5" s="19"/>
      <c r="MZG5" s="19"/>
      <c r="MZH5" s="19"/>
      <c r="MZI5" s="19"/>
      <c r="MZJ5" s="19"/>
      <c r="MZK5" s="19"/>
      <c r="MZL5" s="19"/>
      <c r="MZM5" s="19"/>
      <c r="MZN5" s="19"/>
      <c r="MZO5" s="19"/>
      <c r="MZP5" s="19"/>
      <c r="MZQ5" s="19"/>
      <c r="MZR5" s="19"/>
      <c r="MZS5" s="19"/>
      <c r="MZT5" s="19"/>
      <c r="MZU5" s="19"/>
      <c r="MZV5" s="19"/>
      <c r="MZW5" s="19"/>
      <c r="MZX5" s="19"/>
      <c r="MZY5" s="19"/>
      <c r="MZZ5" s="19"/>
      <c r="NAA5" s="19"/>
      <c r="NAB5" s="19"/>
      <c r="NAC5" s="19"/>
      <c r="NAD5" s="19"/>
      <c r="NAE5" s="19"/>
      <c r="NAF5" s="19"/>
      <c r="NAG5" s="19"/>
      <c r="NAH5" s="19"/>
      <c r="NAI5" s="19"/>
      <c r="NAJ5" s="19"/>
      <c r="NAK5" s="19"/>
      <c r="NAL5" s="19"/>
      <c r="NAM5" s="19"/>
      <c r="NAN5" s="19"/>
      <c r="NAO5" s="19"/>
      <c r="NAP5" s="19"/>
      <c r="NAQ5" s="19"/>
      <c r="NAR5" s="19"/>
      <c r="NAS5" s="19"/>
      <c r="NAT5" s="19"/>
      <c r="NAU5" s="19"/>
      <c r="NAV5" s="19"/>
      <c r="NAW5" s="19"/>
      <c r="NAX5" s="19"/>
      <c r="NAY5" s="19"/>
      <c r="NAZ5" s="19"/>
      <c r="NBA5" s="19"/>
      <c r="NBB5" s="19"/>
      <c r="NBC5" s="19"/>
      <c r="NBD5" s="19"/>
      <c r="NBE5" s="19"/>
      <c r="NBF5" s="19"/>
      <c r="NBG5" s="19"/>
      <c r="NBH5" s="19"/>
      <c r="NBI5" s="19"/>
      <c r="NBJ5" s="19"/>
      <c r="NBK5" s="19"/>
      <c r="NBL5" s="19"/>
      <c r="NBM5" s="19"/>
      <c r="NBN5" s="19"/>
      <c r="NBO5" s="19"/>
      <c r="NBP5" s="19"/>
      <c r="NBQ5" s="19"/>
      <c r="NBR5" s="19"/>
      <c r="NBS5" s="19"/>
      <c r="NBT5" s="19"/>
      <c r="NBU5" s="19"/>
      <c r="NBV5" s="19"/>
      <c r="NBW5" s="19"/>
      <c r="NBX5" s="19"/>
      <c r="NBY5" s="19"/>
      <c r="NBZ5" s="19"/>
      <c r="NCA5" s="19"/>
      <c r="NCB5" s="19"/>
      <c r="NCC5" s="19"/>
      <c r="NCD5" s="19"/>
      <c r="NCE5" s="19"/>
      <c r="NCF5" s="19"/>
      <c r="NCG5" s="19"/>
      <c r="NCH5" s="19"/>
      <c r="NCI5" s="19"/>
      <c r="NCJ5" s="19"/>
      <c r="NCK5" s="19"/>
      <c r="NCL5" s="19"/>
      <c r="NCM5" s="19"/>
      <c r="NCN5" s="19"/>
      <c r="NCO5" s="19"/>
      <c r="NCP5" s="19"/>
      <c r="NCQ5" s="19"/>
      <c r="NCR5" s="19"/>
      <c r="NCS5" s="19"/>
      <c r="NCT5" s="19"/>
      <c r="NCU5" s="19"/>
      <c r="NCV5" s="19"/>
      <c r="NCW5" s="19"/>
      <c r="NCX5" s="19"/>
      <c r="NCY5" s="19"/>
      <c r="NCZ5" s="19"/>
      <c r="NDA5" s="19"/>
      <c r="NDB5" s="19"/>
      <c r="NDC5" s="19"/>
      <c r="NDD5" s="19"/>
      <c r="NDE5" s="19"/>
      <c r="NDF5" s="19"/>
      <c r="NDG5" s="19"/>
      <c r="NDH5" s="19"/>
      <c r="NDI5" s="19"/>
      <c r="NDJ5" s="19"/>
      <c r="NDK5" s="19"/>
      <c r="NDL5" s="19"/>
      <c r="NDM5" s="19"/>
      <c r="NDN5" s="19"/>
      <c r="NDO5" s="19"/>
      <c r="NDP5" s="19"/>
      <c r="NDQ5" s="19"/>
      <c r="NDR5" s="19"/>
      <c r="NDS5" s="19"/>
      <c r="NDT5" s="19"/>
      <c r="NDU5" s="19"/>
      <c r="NDV5" s="19"/>
      <c r="NDW5" s="19"/>
      <c r="NDX5" s="19"/>
      <c r="NDY5" s="19"/>
      <c r="NDZ5" s="19"/>
      <c r="NEA5" s="19"/>
      <c r="NEB5" s="19"/>
      <c r="NEC5" s="19"/>
      <c r="NED5" s="19"/>
      <c r="NEE5" s="19"/>
      <c r="NEF5" s="19"/>
      <c r="NEG5" s="19"/>
      <c r="NEH5" s="19"/>
      <c r="NEI5" s="19"/>
      <c r="NEJ5" s="19"/>
      <c r="NEK5" s="19"/>
      <c r="NEL5" s="19"/>
      <c r="NEM5" s="19"/>
      <c r="NEN5" s="19"/>
      <c r="NEO5" s="19"/>
      <c r="NEP5" s="19"/>
      <c r="NEQ5" s="19"/>
      <c r="NER5" s="19"/>
      <c r="NES5" s="19"/>
      <c r="NET5" s="19"/>
      <c r="NEU5" s="19"/>
      <c r="NEV5" s="19"/>
      <c r="NEW5" s="19"/>
      <c r="NEX5" s="19"/>
      <c r="NEY5" s="19"/>
      <c r="NEZ5" s="19"/>
      <c r="NFA5" s="19"/>
      <c r="NFB5" s="19"/>
      <c r="NFC5" s="19"/>
      <c r="NFD5" s="19"/>
      <c r="NFE5" s="19"/>
      <c r="NFF5" s="19"/>
      <c r="NFG5" s="19"/>
      <c r="NFH5" s="19"/>
      <c r="NFI5" s="19"/>
      <c r="NFJ5" s="19"/>
      <c r="NFK5" s="19"/>
      <c r="NFL5" s="19"/>
      <c r="NFM5" s="19"/>
      <c r="NFN5" s="19"/>
      <c r="NFO5" s="19"/>
      <c r="NFP5" s="19"/>
      <c r="NFQ5" s="19"/>
      <c r="NFR5" s="19"/>
      <c r="NFS5" s="19"/>
      <c r="NFT5" s="19"/>
      <c r="NFU5" s="19"/>
      <c r="NFV5" s="19"/>
      <c r="NFW5" s="19"/>
      <c r="NFX5" s="19"/>
      <c r="NFY5" s="19"/>
      <c r="NFZ5" s="19"/>
      <c r="NGA5" s="19"/>
      <c r="NGB5" s="19"/>
      <c r="NGC5" s="19"/>
      <c r="NGD5" s="19"/>
      <c r="NGE5" s="19"/>
      <c r="NGF5" s="19"/>
      <c r="NGG5" s="19"/>
      <c r="NGH5" s="19"/>
      <c r="NGI5" s="19"/>
      <c r="NGJ5" s="19"/>
      <c r="NGK5" s="19"/>
      <c r="NGL5" s="19"/>
      <c r="NGM5" s="19"/>
      <c r="NGN5" s="19"/>
      <c r="NGO5" s="19"/>
      <c r="NGP5" s="19"/>
      <c r="NGQ5" s="19"/>
      <c r="NGR5" s="19"/>
      <c r="NGS5" s="19"/>
      <c r="NGT5" s="19"/>
      <c r="NGU5" s="19"/>
      <c r="NGV5" s="19"/>
      <c r="NGW5" s="19"/>
      <c r="NGX5" s="19"/>
      <c r="NGY5" s="19"/>
      <c r="NGZ5" s="19"/>
      <c r="NHA5" s="19"/>
      <c r="NHB5" s="19"/>
      <c r="NHC5" s="19"/>
      <c r="NHD5" s="19"/>
      <c r="NHE5" s="19"/>
      <c r="NHF5" s="19"/>
      <c r="NHG5" s="19"/>
      <c r="NHH5" s="19"/>
      <c r="NHI5" s="19"/>
      <c r="NHJ5" s="19"/>
      <c r="NHK5" s="19"/>
      <c r="NHL5" s="19"/>
      <c r="NHM5" s="19"/>
      <c r="NHN5" s="19"/>
      <c r="NHO5" s="19"/>
      <c r="NHP5" s="19"/>
      <c r="NHQ5" s="19"/>
      <c r="NHR5" s="19"/>
      <c r="NHS5" s="19"/>
      <c r="NHT5" s="19"/>
      <c r="NHU5" s="19"/>
      <c r="NHV5" s="19"/>
      <c r="NHW5" s="19"/>
      <c r="NHX5" s="19"/>
      <c r="NHY5" s="19"/>
      <c r="NHZ5" s="19"/>
      <c r="NIA5" s="19"/>
      <c r="NIB5" s="19"/>
      <c r="NIC5" s="19"/>
      <c r="NID5" s="19"/>
      <c r="NIE5" s="19"/>
      <c r="NIF5" s="19"/>
      <c r="NIG5" s="19"/>
      <c r="NIH5" s="19"/>
      <c r="NII5" s="19"/>
      <c r="NIJ5" s="19"/>
      <c r="NIK5" s="19"/>
      <c r="NIL5" s="19"/>
      <c r="NIM5" s="19"/>
      <c r="NIN5" s="19"/>
      <c r="NIO5" s="19"/>
      <c r="NIP5" s="19"/>
      <c r="NIQ5" s="19"/>
      <c r="NIR5" s="19"/>
      <c r="NIS5" s="19"/>
      <c r="NIT5" s="19"/>
      <c r="NIU5" s="19"/>
      <c r="NIV5" s="19"/>
      <c r="NIW5" s="19"/>
      <c r="NIX5" s="19"/>
      <c r="NIY5" s="19"/>
      <c r="NIZ5" s="19"/>
      <c r="NJA5" s="19"/>
      <c r="NJB5" s="19"/>
      <c r="NJC5" s="19"/>
      <c r="NJD5" s="19"/>
      <c r="NJE5" s="19"/>
      <c r="NJF5" s="19"/>
      <c r="NJG5" s="19"/>
      <c r="NJH5" s="19"/>
      <c r="NJI5" s="19"/>
      <c r="NJJ5" s="19"/>
      <c r="NJK5" s="19"/>
      <c r="NJL5" s="19"/>
      <c r="NJM5" s="19"/>
      <c r="NJN5" s="19"/>
      <c r="NJO5" s="19"/>
      <c r="NJP5" s="19"/>
      <c r="NJQ5" s="19"/>
      <c r="NJR5" s="19"/>
      <c r="NJS5" s="19"/>
      <c r="NJT5" s="19"/>
      <c r="NJU5" s="19"/>
      <c r="NJV5" s="19"/>
      <c r="NJW5" s="19"/>
      <c r="NJX5" s="19"/>
      <c r="NJY5" s="19"/>
      <c r="NJZ5" s="19"/>
      <c r="NKA5" s="19"/>
      <c r="NKB5" s="19"/>
      <c r="NKC5" s="19"/>
      <c r="NKD5" s="19"/>
      <c r="NKE5" s="19"/>
      <c r="NKF5" s="19"/>
      <c r="NKG5" s="19"/>
      <c r="NKH5" s="19"/>
      <c r="NKI5" s="19"/>
      <c r="NKJ5" s="19"/>
      <c r="NKK5" s="19"/>
      <c r="NKL5" s="19"/>
      <c r="NKM5" s="19"/>
      <c r="NKN5" s="19"/>
      <c r="NKO5" s="19"/>
      <c r="NKP5" s="19"/>
      <c r="NKQ5" s="19"/>
      <c r="NKR5" s="19"/>
      <c r="NKS5" s="19"/>
      <c r="NKT5" s="19"/>
      <c r="NKU5" s="19"/>
      <c r="NKV5" s="19"/>
      <c r="NKW5" s="19"/>
      <c r="NKX5" s="19"/>
      <c r="NKY5" s="19"/>
      <c r="NKZ5" s="19"/>
      <c r="NLA5" s="19"/>
      <c r="NLB5" s="19"/>
      <c r="NLC5" s="19"/>
      <c r="NLD5" s="19"/>
      <c r="NLE5" s="19"/>
      <c r="NLF5" s="19"/>
      <c r="NLG5" s="19"/>
      <c r="NLH5" s="19"/>
      <c r="NLI5" s="19"/>
      <c r="NLJ5" s="19"/>
      <c r="NLK5" s="19"/>
      <c r="NLL5" s="19"/>
      <c r="NLM5" s="19"/>
      <c r="NLN5" s="19"/>
      <c r="NLO5" s="19"/>
      <c r="NLP5" s="19"/>
      <c r="NLQ5" s="19"/>
      <c r="NLR5" s="19"/>
      <c r="NLS5" s="19"/>
      <c r="NLT5" s="19"/>
      <c r="NLU5" s="19"/>
      <c r="NLV5" s="19"/>
      <c r="NLW5" s="19"/>
      <c r="NLX5" s="19"/>
      <c r="NLY5" s="19"/>
      <c r="NLZ5" s="19"/>
      <c r="NMA5" s="19"/>
      <c r="NMB5" s="19"/>
      <c r="NMC5" s="19"/>
      <c r="NMD5" s="19"/>
      <c r="NME5" s="19"/>
      <c r="NMF5" s="19"/>
      <c r="NMG5" s="19"/>
      <c r="NMH5" s="19"/>
      <c r="NMI5" s="19"/>
      <c r="NMJ5" s="19"/>
      <c r="NMK5" s="19"/>
      <c r="NML5" s="19"/>
      <c r="NMM5" s="19"/>
      <c r="NMN5" s="19"/>
      <c r="NMO5" s="19"/>
      <c r="NMP5" s="19"/>
      <c r="NMQ5" s="19"/>
      <c r="NMR5" s="19"/>
      <c r="NMS5" s="19"/>
      <c r="NMT5" s="19"/>
      <c r="NMU5" s="19"/>
      <c r="NMV5" s="19"/>
      <c r="NMW5" s="19"/>
      <c r="NMX5" s="19"/>
      <c r="NMY5" s="19"/>
      <c r="NMZ5" s="19"/>
      <c r="NNA5" s="19"/>
      <c r="NNB5" s="19"/>
      <c r="NNC5" s="19"/>
      <c r="NND5" s="19"/>
      <c r="NNE5" s="19"/>
      <c r="NNF5" s="19"/>
      <c r="NNG5" s="19"/>
      <c r="NNH5" s="19"/>
      <c r="NNI5" s="19"/>
      <c r="NNJ5" s="19"/>
      <c r="NNK5" s="19"/>
      <c r="NNL5" s="19"/>
      <c r="NNM5" s="19"/>
      <c r="NNN5" s="19"/>
      <c r="NNO5" s="19"/>
      <c r="NNP5" s="19"/>
      <c r="NNQ5" s="19"/>
      <c r="NNR5" s="19"/>
      <c r="NNS5" s="19"/>
      <c r="NNT5" s="19"/>
      <c r="NNU5" s="19"/>
      <c r="NNV5" s="19"/>
      <c r="NNW5" s="19"/>
      <c r="NNX5" s="19"/>
      <c r="NNY5" s="19"/>
      <c r="NNZ5" s="19"/>
      <c r="NOA5" s="19"/>
      <c r="NOB5" s="19"/>
      <c r="NOC5" s="19"/>
      <c r="NOD5" s="19"/>
      <c r="NOE5" s="19"/>
      <c r="NOF5" s="19"/>
      <c r="NOG5" s="19"/>
      <c r="NOH5" s="19"/>
      <c r="NOI5" s="19"/>
      <c r="NOJ5" s="19"/>
      <c r="NOK5" s="19"/>
      <c r="NOL5" s="19"/>
      <c r="NOM5" s="19"/>
      <c r="NON5" s="19"/>
      <c r="NOO5" s="19"/>
      <c r="NOP5" s="19"/>
      <c r="NOQ5" s="19"/>
      <c r="NOR5" s="19"/>
      <c r="NOS5" s="19"/>
      <c r="NOT5" s="19"/>
      <c r="NOU5" s="19"/>
      <c r="NOV5" s="19"/>
      <c r="NOW5" s="19"/>
      <c r="NOX5" s="19"/>
      <c r="NOY5" s="19"/>
      <c r="NOZ5" s="19"/>
      <c r="NPA5" s="19"/>
      <c r="NPB5" s="19"/>
      <c r="NPC5" s="19"/>
      <c r="NPD5" s="19"/>
      <c r="NPE5" s="19"/>
      <c r="NPF5" s="19"/>
      <c r="NPG5" s="19"/>
      <c r="NPH5" s="19"/>
      <c r="NPI5" s="19"/>
      <c r="NPJ5" s="19"/>
      <c r="NPK5" s="19"/>
      <c r="NPL5" s="19"/>
      <c r="NPM5" s="19"/>
      <c r="NPN5" s="19"/>
      <c r="NPO5" s="19"/>
      <c r="NPP5" s="19"/>
      <c r="NPQ5" s="19"/>
      <c r="NPR5" s="19"/>
      <c r="NPS5" s="19"/>
      <c r="NPT5" s="19"/>
      <c r="NPU5" s="19"/>
      <c r="NPV5" s="19"/>
      <c r="NPW5" s="19"/>
      <c r="NPX5" s="19"/>
      <c r="NPY5" s="19"/>
      <c r="NPZ5" s="19"/>
      <c r="NQA5" s="19"/>
      <c r="NQB5" s="19"/>
      <c r="NQC5" s="19"/>
      <c r="NQD5" s="19"/>
      <c r="NQE5" s="19"/>
      <c r="NQF5" s="19"/>
      <c r="NQG5" s="19"/>
      <c r="NQH5" s="19"/>
      <c r="NQI5" s="19"/>
      <c r="NQJ5" s="19"/>
      <c r="NQK5" s="19"/>
      <c r="NQL5" s="19"/>
      <c r="NQM5" s="19"/>
      <c r="NQN5" s="19"/>
      <c r="NQO5" s="19"/>
      <c r="NQP5" s="19"/>
      <c r="NQQ5" s="19"/>
      <c r="NQR5" s="19"/>
      <c r="NQS5" s="19"/>
      <c r="NQT5" s="19"/>
      <c r="NQU5" s="19"/>
      <c r="NQV5" s="19"/>
      <c r="NQW5" s="19"/>
      <c r="NQX5" s="19"/>
      <c r="NQY5" s="19"/>
      <c r="NQZ5" s="19"/>
      <c r="NRA5" s="19"/>
      <c r="NRB5" s="19"/>
      <c r="NRC5" s="19"/>
      <c r="NRD5" s="19"/>
      <c r="NRE5" s="19"/>
      <c r="NRF5" s="19"/>
      <c r="NRG5" s="19"/>
      <c r="NRH5" s="19"/>
      <c r="NRI5" s="19"/>
      <c r="NRJ5" s="19"/>
      <c r="NRK5" s="19"/>
      <c r="NRL5" s="19"/>
      <c r="NRM5" s="19"/>
      <c r="NRN5" s="19"/>
      <c r="NRO5" s="19"/>
      <c r="NRP5" s="19"/>
      <c r="NRQ5" s="19"/>
      <c r="NRR5" s="19"/>
      <c r="NRS5" s="19"/>
      <c r="NRT5" s="19"/>
      <c r="NRU5" s="19"/>
      <c r="NRV5" s="19"/>
      <c r="NRW5" s="19"/>
      <c r="NRX5" s="19"/>
      <c r="NRY5" s="19"/>
      <c r="NRZ5" s="19"/>
      <c r="NSA5" s="19"/>
      <c r="NSB5" s="19"/>
      <c r="NSC5" s="19"/>
      <c r="NSD5" s="19"/>
      <c r="NSE5" s="19"/>
      <c r="NSF5" s="19"/>
      <c r="NSG5" s="19"/>
      <c r="NSH5" s="19"/>
      <c r="NSI5" s="19"/>
      <c r="NSJ5" s="19"/>
      <c r="NSK5" s="19"/>
      <c r="NSL5" s="19"/>
      <c r="NSM5" s="19"/>
      <c r="NSN5" s="19"/>
      <c r="NSO5" s="19"/>
      <c r="NSP5" s="19"/>
      <c r="NSQ5" s="19"/>
      <c r="NSR5" s="19"/>
      <c r="NSS5" s="19"/>
      <c r="NST5" s="19"/>
      <c r="NSU5" s="19"/>
      <c r="NSV5" s="19"/>
      <c r="NSW5" s="19"/>
      <c r="NSX5" s="19"/>
      <c r="NSY5" s="19"/>
      <c r="NSZ5" s="19"/>
      <c r="NTA5" s="19"/>
      <c r="NTB5" s="19"/>
      <c r="NTC5" s="19"/>
      <c r="NTD5" s="19"/>
      <c r="NTE5" s="19"/>
      <c r="NTF5" s="19"/>
      <c r="NTG5" s="19"/>
      <c r="NTH5" s="19"/>
      <c r="NTI5" s="19"/>
      <c r="NTJ5" s="19"/>
      <c r="NTK5" s="19"/>
      <c r="NTL5" s="19"/>
      <c r="NTM5" s="19"/>
      <c r="NTN5" s="19"/>
      <c r="NTO5" s="19"/>
      <c r="NTP5" s="19"/>
      <c r="NTQ5" s="19"/>
      <c r="NTR5" s="19"/>
      <c r="NTS5" s="19"/>
      <c r="NTT5" s="19"/>
      <c r="NTU5" s="19"/>
      <c r="NTV5" s="19"/>
      <c r="NTW5" s="19"/>
      <c r="NTX5" s="19"/>
      <c r="NTY5" s="19"/>
      <c r="NTZ5" s="19"/>
      <c r="NUA5" s="19"/>
      <c r="NUB5" s="19"/>
      <c r="NUC5" s="19"/>
      <c r="NUD5" s="19"/>
      <c r="NUE5" s="19"/>
      <c r="NUF5" s="19"/>
      <c r="NUG5" s="19"/>
      <c r="NUH5" s="19"/>
      <c r="NUI5" s="19"/>
      <c r="NUJ5" s="19"/>
      <c r="NUK5" s="19"/>
      <c r="NUL5" s="19"/>
      <c r="NUM5" s="19"/>
      <c r="NUN5" s="19"/>
      <c r="NUO5" s="19"/>
      <c r="NUP5" s="19"/>
      <c r="NUQ5" s="19"/>
      <c r="NUR5" s="19"/>
      <c r="NUS5" s="19"/>
      <c r="NUT5" s="19"/>
      <c r="NUU5" s="19"/>
      <c r="NUV5" s="19"/>
      <c r="NUW5" s="19"/>
      <c r="NUX5" s="19"/>
      <c r="NUY5" s="19"/>
      <c r="NUZ5" s="19"/>
      <c r="NVA5" s="19"/>
      <c r="NVB5" s="19"/>
      <c r="NVC5" s="19"/>
      <c r="NVD5" s="19"/>
      <c r="NVE5" s="19"/>
      <c r="NVF5" s="19"/>
      <c r="NVG5" s="19"/>
      <c r="NVH5" s="19"/>
      <c r="NVI5" s="19"/>
      <c r="NVJ5" s="19"/>
      <c r="NVK5" s="19"/>
      <c r="NVL5" s="19"/>
      <c r="NVM5" s="19"/>
      <c r="NVN5" s="19"/>
      <c r="NVO5" s="19"/>
      <c r="NVP5" s="19"/>
      <c r="NVQ5" s="19"/>
      <c r="NVR5" s="19"/>
      <c r="NVS5" s="19"/>
      <c r="NVT5" s="19"/>
      <c r="NVU5" s="19"/>
      <c r="NVV5" s="19"/>
      <c r="NVW5" s="19"/>
      <c r="NVX5" s="19"/>
      <c r="NVY5" s="19"/>
      <c r="NVZ5" s="19"/>
      <c r="NWA5" s="19"/>
      <c r="NWB5" s="19"/>
      <c r="NWC5" s="19"/>
      <c r="NWD5" s="19"/>
      <c r="NWE5" s="19"/>
      <c r="NWF5" s="19"/>
      <c r="NWG5" s="19"/>
      <c r="NWH5" s="19"/>
      <c r="NWI5" s="19"/>
      <c r="NWJ5" s="19"/>
      <c r="NWK5" s="19"/>
      <c r="NWL5" s="19"/>
      <c r="NWM5" s="19"/>
      <c r="NWN5" s="19"/>
      <c r="NWO5" s="19"/>
      <c r="NWP5" s="19"/>
      <c r="NWQ5" s="19"/>
      <c r="NWR5" s="19"/>
      <c r="NWS5" s="19"/>
      <c r="NWT5" s="19"/>
      <c r="NWU5" s="19"/>
      <c r="NWV5" s="19"/>
      <c r="NWW5" s="19"/>
      <c r="NWX5" s="19"/>
      <c r="NWY5" s="19"/>
      <c r="NWZ5" s="19"/>
      <c r="NXA5" s="19"/>
      <c r="NXB5" s="19"/>
      <c r="NXC5" s="19"/>
      <c r="NXD5" s="19"/>
      <c r="NXE5" s="19"/>
      <c r="NXF5" s="19"/>
      <c r="NXG5" s="19"/>
      <c r="NXH5" s="19"/>
      <c r="NXI5" s="19"/>
      <c r="NXJ5" s="19"/>
      <c r="NXK5" s="19"/>
      <c r="NXL5" s="19"/>
      <c r="NXM5" s="19"/>
      <c r="NXN5" s="19"/>
      <c r="NXO5" s="19"/>
      <c r="NXP5" s="19"/>
      <c r="NXQ5" s="19"/>
      <c r="NXR5" s="19"/>
      <c r="NXS5" s="19"/>
      <c r="NXT5" s="19"/>
      <c r="NXU5" s="19"/>
      <c r="NXV5" s="19"/>
      <c r="NXW5" s="19"/>
      <c r="NXX5" s="19"/>
      <c r="NXY5" s="19"/>
      <c r="NXZ5" s="19"/>
      <c r="NYA5" s="19"/>
      <c r="NYB5" s="19"/>
      <c r="NYC5" s="19"/>
      <c r="NYD5" s="19"/>
      <c r="NYE5" s="19"/>
      <c r="NYF5" s="19"/>
      <c r="NYG5" s="19"/>
      <c r="NYH5" s="19"/>
      <c r="NYI5" s="19"/>
      <c r="NYJ5" s="19"/>
      <c r="NYK5" s="19"/>
      <c r="NYL5" s="19"/>
      <c r="NYM5" s="19"/>
      <c r="NYN5" s="19"/>
      <c r="NYO5" s="19"/>
      <c r="NYP5" s="19"/>
      <c r="NYQ5" s="19"/>
      <c r="NYR5" s="19"/>
      <c r="NYS5" s="19"/>
      <c r="NYT5" s="19"/>
      <c r="NYU5" s="19"/>
      <c r="NYV5" s="19"/>
      <c r="NYW5" s="19"/>
      <c r="NYX5" s="19"/>
      <c r="NYY5" s="19"/>
      <c r="NYZ5" s="19"/>
      <c r="NZA5" s="19"/>
      <c r="NZB5" s="19"/>
      <c r="NZC5" s="19"/>
      <c r="NZD5" s="19"/>
      <c r="NZE5" s="19"/>
      <c r="NZF5" s="19"/>
      <c r="NZG5" s="19"/>
      <c r="NZH5" s="19"/>
      <c r="NZI5" s="19"/>
      <c r="NZJ5" s="19"/>
      <c r="NZK5" s="19"/>
      <c r="NZL5" s="19"/>
      <c r="NZM5" s="19"/>
      <c r="NZN5" s="19"/>
      <c r="NZO5" s="19"/>
      <c r="NZP5" s="19"/>
      <c r="NZQ5" s="19"/>
      <c r="NZR5" s="19"/>
      <c r="NZS5" s="19"/>
      <c r="NZT5" s="19"/>
      <c r="NZU5" s="19"/>
      <c r="NZV5" s="19"/>
      <c r="NZW5" s="19"/>
      <c r="NZX5" s="19"/>
      <c r="NZY5" s="19"/>
      <c r="NZZ5" s="19"/>
      <c r="OAA5" s="19"/>
      <c r="OAB5" s="19"/>
      <c r="OAC5" s="19"/>
      <c r="OAD5" s="19"/>
      <c r="OAE5" s="19"/>
      <c r="OAF5" s="19"/>
      <c r="OAG5" s="19"/>
      <c r="OAH5" s="19"/>
      <c r="OAI5" s="19"/>
      <c r="OAJ5" s="19"/>
      <c r="OAK5" s="19"/>
      <c r="OAL5" s="19"/>
      <c r="OAM5" s="19"/>
      <c r="OAN5" s="19"/>
      <c r="OAO5" s="19"/>
      <c r="OAP5" s="19"/>
      <c r="OAQ5" s="19"/>
      <c r="OAR5" s="19"/>
      <c r="OAS5" s="19"/>
      <c r="OAT5" s="19"/>
      <c r="OAU5" s="19"/>
      <c r="OAV5" s="19"/>
      <c r="OAW5" s="19"/>
      <c r="OAX5" s="19"/>
      <c r="OAY5" s="19"/>
      <c r="OAZ5" s="19"/>
      <c r="OBA5" s="19"/>
      <c r="OBB5" s="19"/>
      <c r="OBC5" s="19"/>
      <c r="OBD5" s="19"/>
      <c r="OBE5" s="19"/>
      <c r="OBF5" s="19"/>
      <c r="OBG5" s="19"/>
      <c r="OBH5" s="19"/>
      <c r="OBI5" s="19"/>
      <c r="OBJ5" s="19"/>
      <c r="OBK5" s="19"/>
      <c r="OBL5" s="19"/>
      <c r="OBM5" s="19"/>
      <c r="OBN5" s="19"/>
      <c r="OBO5" s="19"/>
      <c r="OBP5" s="19"/>
      <c r="OBQ5" s="19"/>
      <c r="OBR5" s="19"/>
      <c r="OBS5" s="19"/>
      <c r="OBT5" s="19"/>
      <c r="OBU5" s="19"/>
      <c r="OBV5" s="19"/>
      <c r="OBW5" s="19"/>
      <c r="OBX5" s="19"/>
      <c r="OBY5" s="19"/>
      <c r="OBZ5" s="19"/>
      <c r="OCA5" s="19"/>
      <c r="OCB5" s="19"/>
      <c r="OCC5" s="19"/>
      <c r="OCD5" s="19"/>
      <c r="OCE5" s="19"/>
      <c r="OCF5" s="19"/>
      <c r="OCG5" s="19"/>
      <c r="OCH5" s="19"/>
      <c r="OCI5" s="19"/>
      <c r="OCJ5" s="19"/>
      <c r="OCK5" s="19"/>
      <c r="OCL5" s="19"/>
      <c r="OCM5" s="19"/>
      <c r="OCN5" s="19"/>
      <c r="OCO5" s="19"/>
      <c r="OCP5" s="19"/>
      <c r="OCQ5" s="19"/>
      <c r="OCR5" s="19"/>
      <c r="OCS5" s="19"/>
      <c r="OCT5" s="19"/>
      <c r="OCU5" s="19"/>
      <c r="OCV5" s="19"/>
      <c r="OCW5" s="19"/>
      <c r="OCX5" s="19"/>
      <c r="OCY5" s="19"/>
      <c r="OCZ5" s="19"/>
      <c r="ODA5" s="19"/>
      <c r="ODB5" s="19"/>
      <c r="ODC5" s="19"/>
      <c r="ODD5" s="19"/>
      <c r="ODE5" s="19"/>
      <c r="ODF5" s="19"/>
      <c r="ODG5" s="19"/>
      <c r="ODH5" s="19"/>
      <c r="ODI5" s="19"/>
      <c r="ODJ5" s="19"/>
      <c r="ODK5" s="19"/>
      <c r="ODL5" s="19"/>
      <c r="ODM5" s="19"/>
      <c r="ODN5" s="19"/>
      <c r="ODO5" s="19"/>
      <c r="ODP5" s="19"/>
      <c r="ODQ5" s="19"/>
      <c r="ODR5" s="19"/>
      <c r="ODS5" s="19"/>
      <c r="ODT5" s="19"/>
      <c r="ODU5" s="19"/>
      <c r="ODV5" s="19"/>
      <c r="ODW5" s="19"/>
      <c r="ODX5" s="19"/>
      <c r="ODY5" s="19"/>
      <c r="ODZ5" s="19"/>
      <c r="OEA5" s="19"/>
      <c r="OEB5" s="19"/>
      <c r="OEC5" s="19"/>
      <c r="OED5" s="19"/>
      <c r="OEE5" s="19"/>
      <c r="OEF5" s="19"/>
      <c r="OEG5" s="19"/>
      <c r="OEH5" s="19"/>
      <c r="OEI5" s="19"/>
      <c r="OEJ5" s="19"/>
      <c r="OEK5" s="19"/>
      <c r="OEL5" s="19"/>
      <c r="OEM5" s="19"/>
      <c r="OEN5" s="19"/>
      <c r="OEO5" s="19"/>
      <c r="OEP5" s="19"/>
      <c r="OEQ5" s="19"/>
      <c r="OER5" s="19"/>
      <c r="OES5" s="19"/>
      <c r="OET5" s="19"/>
      <c r="OEU5" s="19"/>
      <c r="OEV5" s="19"/>
      <c r="OEW5" s="19"/>
      <c r="OEX5" s="19"/>
      <c r="OEY5" s="19"/>
      <c r="OEZ5" s="19"/>
      <c r="OFA5" s="19"/>
      <c r="OFB5" s="19"/>
      <c r="OFC5" s="19"/>
      <c r="OFD5" s="19"/>
      <c r="OFE5" s="19"/>
      <c r="OFF5" s="19"/>
      <c r="OFG5" s="19"/>
      <c r="OFH5" s="19"/>
      <c r="OFI5" s="19"/>
      <c r="OFJ5" s="19"/>
      <c r="OFK5" s="19"/>
      <c r="OFL5" s="19"/>
      <c r="OFM5" s="19"/>
      <c r="OFN5" s="19"/>
      <c r="OFO5" s="19"/>
      <c r="OFP5" s="19"/>
      <c r="OFQ5" s="19"/>
      <c r="OFR5" s="19"/>
      <c r="OFS5" s="19"/>
      <c r="OFT5" s="19"/>
      <c r="OFU5" s="19"/>
      <c r="OFV5" s="19"/>
      <c r="OFW5" s="19"/>
      <c r="OFX5" s="19"/>
      <c r="OFY5" s="19"/>
      <c r="OFZ5" s="19"/>
      <c r="OGA5" s="19"/>
      <c r="OGB5" s="19"/>
      <c r="OGC5" s="19"/>
      <c r="OGD5" s="19"/>
      <c r="OGE5" s="19"/>
      <c r="OGF5" s="19"/>
      <c r="OGG5" s="19"/>
      <c r="OGH5" s="19"/>
      <c r="OGI5" s="19"/>
      <c r="OGJ5" s="19"/>
      <c r="OGK5" s="19"/>
      <c r="OGL5" s="19"/>
      <c r="OGM5" s="19"/>
      <c r="OGN5" s="19"/>
      <c r="OGO5" s="19"/>
      <c r="OGP5" s="19"/>
      <c r="OGQ5" s="19"/>
      <c r="OGR5" s="19"/>
      <c r="OGS5" s="19"/>
      <c r="OGT5" s="19"/>
      <c r="OGU5" s="19"/>
      <c r="OGV5" s="19"/>
      <c r="OGW5" s="19"/>
      <c r="OGX5" s="19"/>
      <c r="OGY5" s="19"/>
      <c r="OGZ5" s="19"/>
      <c r="OHA5" s="19"/>
      <c r="OHB5" s="19"/>
      <c r="OHC5" s="19"/>
      <c r="OHD5" s="19"/>
      <c r="OHE5" s="19"/>
      <c r="OHF5" s="19"/>
      <c r="OHG5" s="19"/>
      <c r="OHH5" s="19"/>
      <c r="OHI5" s="19"/>
      <c r="OHJ5" s="19"/>
      <c r="OHK5" s="19"/>
      <c r="OHL5" s="19"/>
      <c r="OHM5" s="19"/>
      <c r="OHN5" s="19"/>
      <c r="OHO5" s="19"/>
      <c r="OHP5" s="19"/>
      <c r="OHQ5" s="19"/>
      <c r="OHR5" s="19"/>
      <c r="OHS5" s="19"/>
      <c r="OHT5" s="19"/>
      <c r="OHU5" s="19"/>
      <c r="OHV5" s="19"/>
      <c r="OHW5" s="19"/>
      <c r="OHX5" s="19"/>
      <c r="OHY5" s="19"/>
      <c r="OHZ5" s="19"/>
      <c r="OIA5" s="19"/>
      <c r="OIB5" s="19"/>
      <c r="OIC5" s="19"/>
      <c r="OID5" s="19"/>
      <c r="OIE5" s="19"/>
      <c r="OIF5" s="19"/>
      <c r="OIG5" s="19"/>
      <c r="OIH5" s="19"/>
      <c r="OII5" s="19"/>
      <c r="OIJ5" s="19"/>
      <c r="OIK5" s="19"/>
      <c r="OIL5" s="19"/>
      <c r="OIM5" s="19"/>
      <c r="OIN5" s="19"/>
      <c r="OIO5" s="19"/>
      <c r="OIP5" s="19"/>
      <c r="OIQ5" s="19"/>
      <c r="OIR5" s="19"/>
      <c r="OIS5" s="19"/>
      <c r="OIT5" s="19"/>
      <c r="OIU5" s="19"/>
      <c r="OIV5" s="19"/>
      <c r="OIW5" s="19"/>
      <c r="OIX5" s="19"/>
      <c r="OIY5" s="19"/>
      <c r="OIZ5" s="19"/>
      <c r="OJA5" s="19"/>
      <c r="OJB5" s="19"/>
      <c r="OJC5" s="19"/>
      <c r="OJD5" s="19"/>
      <c r="OJE5" s="19"/>
      <c r="OJF5" s="19"/>
      <c r="OJG5" s="19"/>
      <c r="OJH5" s="19"/>
      <c r="OJI5" s="19"/>
      <c r="OJJ5" s="19"/>
      <c r="OJK5" s="19"/>
      <c r="OJL5" s="19"/>
      <c r="OJM5" s="19"/>
      <c r="OJN5" s="19"/>
      <c r="OJO5" s="19"/>
      <c r="OJP5" s="19"/>
      <c r="OJQ5" s="19"/>
      <c r="OJR5" s="19"/>
      <c r="OJS5" s="19"/>
      <c r="OJT5" s="19"/>
      <c r="OJU5" s="19"/>
      <c r="OJV5" s="19"/>
      <c r="OJW5" s="19"/>
      <c r="OJX5" s="19"/>
      <c r="OJY5" s="19"/>
      <c r="OJZ5" s="19"/>
      <c r="OKA5" s="19"/>
      <c r="OKB5" s="19"/>
      <c r="OKC5" s="19"/>
      <c r="OKD5" s="19"/>
      <c r="OKE5" s="19"/>
      <c r="OKF5" s="19"/>
      <c r="OKG5" s="19"/>
      <c r="OKH5" s="19"/>
      <c r="OKI5" s="19"/>
      <c r="OKJ5" s="19"/>
      <c r="OKK5" s="19"/>
      <c r="OKL5" s="19"/>
      <c r="OKM5" s="19"/>
      <c r="OKN5" s="19"/>
      <c r="OKO5" s="19"/>
      <c r="OKP5" s="19"/>
      <c r="OKQ5" s="19"/>
      <c r="OKR5" s="19"/>
      <c r="OKS5" s="19"/>
      <c r="OKT5" s="19"/>
      <c r="OKU5" s="19"/>
      <c r="OKV5" s="19"/>
      <c r="OKW5" s="19"/>
      <c r="OKX5" s="19"/>
      <c r="OKY5" s="19"/>
      <c r="OKZ5" s="19"/>
      <c r="OLA5" s="19"/>
      <c r="OLB5" s="19"/>
      <c r="OLC5" s="19"/>
      <c r="OLD5" s="19"/>
      <c r="OLE5" s="19"/>
      <c r="OLF5" s="19"/>
      <c r="OLG5" s="19"/>
      <c r="OLH5" s="19"/>
      <c r="OLI5" s="19"/>
      <c r="OLJ5" s="19"/>
      <c r="OLK5" s="19"/>
      <c r="OLL5" s="19"/>
      <c r="OLM5" s="19"/>
      <c r="OLN5" s="19"/>
      <c r="OLO5" s="19"/>
      <c r="OLP5" s="19"/>
      <c r="OLQ5" s="19"/>
      <c r="OLR5" s="19"/>
      <c r="OLS5" s="19"/>
      <c r="OLT5" s="19"/>
      <c r="OLU5" s="19"/>
      <c r="OLV5" s="19"/>
      <c r="OLW5" s="19"/>
      <c r="OLX5" s="19"/>
      <c r="OLY5" s="19"/>
      <c r="OLZ5" s="19"/>
      <c r="OMA5" s="19"/>
      <c r="OMB5" s="19"/>
      <c r="OMC5" s="19"/>
      <c r="OMD5" s="19"/>
      <c r="OME5" s="19"/>
      <c r="OMF5" s="19"/>
      <c r="OMG5" s="19"/>
      <c r="OMH5" s="19"/>
      <c r="OMI5" s="19"/>
      <c r="OMJ5" s="19"/>
      <c r="OMK5" s="19"/>
      <c r="OML5" s="19"/>
      <c r="OMM5" s="19"/>
      <c r="OMN5" s="19"/>
      <c r="OMO5" s="19"/>
      <c r="OMP5" s="19"/>
      <c r="OMQ5" s="19"/>
      <c r="OMR5" s="19"/>
      <c r="OMS5" s="19"/>
      <c r="OMT5" s="19"/>
      <c r="OMU5" s="19"/>
      <c r="OMV5" s="19"/>
      <c r="OMW5" s="19"/>
      <c r="OMX5" s="19"/>
      <c r="OMY5" s="19"/>
      <c r="OMZ5" s="19"/>
      <c r="ONA5" s="19"/>
      <c r="ONB5" s="19"/>
      <c r="ONC5" s="19"/>
      <c r="OND5" s="19"/>
      <c r="ONE5" s="19"/>
      <c r="ONF5" s="19"/>
      <c r="ONG5" s="19"/>
      <c r="ONH5" s="19"/>
      <c r="ONI5" s="19"/>
      <c r="ONJ5" s="19"/>
      <c r="ONK5" s="19"/>
      <c r="ONL5" s="19"/>
      <c r="ONM5" s="19"/>
      <c r="ONN5" s="19"/>
      <c r="ONO5" s="19"/>
      <c r="ONP5" s="19"/>
      <c r="ONQ5" s="19"/>
      <c r="ONR5" s="19"/>
      <c r="ONS5" s="19"/>
      <c r="ONT5" s="19"/>
      <c r="ONU5" s="19"/>
      <c r="ONV5" s="19"/>
      <c r="ONW5" s="19"/>
      <c r="ONX5" s="19"/>
      <c r="ONY5" s="19"/>
      <c r="ONZ5" s="19"/>
      <c r="OOA5" s="19"/>
      <c r="OOB5" s="19"/>
      <c r="OOC5" s="19"/>
      <c r="OOD5" s="19"/>
      <c r="OOE5" s="19"/>
      <c r="OOF5" s="19"/>
      <c r="OOG5" s="19"/>
      <c r="OOH5" s="19"/>
      <c r="OOI5" s="19"/>
      <c r="OOJ5" s="19"/>
      <c r="OOK5" s="19"/>
      <c r="OOL5" s="19"/>
      <c r="OOM5" s="19"/>
      <c r="OON5" s="19"/>
      <c r="OOO5" s="19"/>
      <c r="OOP5" s="19"/>
      <c r="OOQ5" s="19"/>
      <c r="OOR5" s="19"/>
      <c r="OOS5" s="19"/>
      <c r="OOT5" s="19"/>
      <c r="OOU5" s="19"/>
      <c r="OOV5" s="19"/>
      <c r="OOW5" s="19"/>
      <c r="OOX5" s="19"/>
      <c r="OOY5" s="19"/>
      <c r="OOZ5" s="19"/>
      <c r="OPA5" s="19"/>
      <c r="OPB5" s="19"/>
      <c r="OPC5" s="19"/>
      <c r="OPD5" s="19"/>
      <c r="OPE5" s="19"/>
      <c r="OPF5" s="19"/>
      <c r="OPG5" s="19"/>
      <c r="OPH5" s="19"/>
      <c r="OPI5" s="19"/>
      <c r="OPJ5" s="19"/>
      <c r="OPK5" s="19"/>
      <c r="OPL5" s="19"/>
      <c r="OPM5" s="19"/>
      <c r="OPN5" s="19"/>
      <c r="OPO5" s="19"/>
      <c r="OPP5" s="19"/>
      <c r="OPQ5" s="19"/>
      <c r="OPR5" s="19"/>
      <c r="OPS5" s="19"/>
      <c r="OPT5" s="19"/>
      <c r="OPU5" s="19"/>
      <c r="OPV5" s="19"/>
      <c r="OPW5" s="19"/>
      <c r="OPX5" s="19"/>
      <c r="OPY5" s="19"/>
      <c r="OPZ5" s="19"/>
      <c r="OQA5" s="19"/>
      <c r="OQB5" s="19"/>
      <c r="OQC5" s="19"/>
      <c r="OQD5" s="19"/>
      <c r="OQE5" s="19"/>
      <c r="OQF5" s="19"/>
      <c r="OQG5" s="19"/>
      <c r="OQH5" s="19"/>
      <c r="OQI5" s="19"/>
      <c r="OQJ5" s="19"/>
      <c r="OQK5" s="19"/>
      <c r="OQL5" s="19"/>
      <c r="OQM5" s="19"/>
      <c r="OQN5" s="19"/>
      <c r="OQO5" s="19"/>
      <c r="OQP5" s="19"/>
      <c r="OQQ5" s="19"/>
      <c r="OQR5" s="19"/>
      <c r="OQS5" s="19"/>
      <c r="OQT5" s="19"/>
      <c r="OQU5" s="19"/>
      <c r="OQV5" s="19"/>
      <c r="OQW5" s="19"/>
      <c r="OQX5" s="19"/>
      <c r="OQY5" s="19"/>
      <c r="OQZ5" s="19"/>
      <c r="ORA5" s="19"/>
      <c r="ORB5" s="19"/>
      <c r="ORC5" s="19"/>
      <c r="ORD5" s="19"/>
      <c r="ORE5" s="19"/>
      <c r="ORF5" s="19"/>
      <c r="ORG5" s="19"/>
      <c r="ORH5" s="19"/>
      <c r="ORI5" s="19"/>
      <c r="ORJ5" s="19"/>
      <c r="ORK5" s="19"/>
      <c r="ORL5" s="19"/>
      <c r="ORM5" s="19"/>
      <c r="ORN5" s="19"/>
      <c r="ORO5" s="19"/>
      <c r="ORP5" s="19"/>
      <c r="ORQ5" s="19"/>
      <c r="ORR5" s="19"/>
      <c r="ORS5" s="19"/>
      <c r="ORT5" s="19"/>
      <c r="ORU5" s="19"/>
      <c r="ORV5" s="19"/>
      <c r="ORW5" s="19"/>
      <c r="ORX5" s="19"/>
      <c r="ORY5" s="19"/>
      <c r="ORZ5" s="19"/>
      <c r="OSA5" s="19"/>
      <c r="OSB5" s="19"/>
      <c r="OSC5" s="19"/>
      <c r="OSD5" s="19"/>
      <c r="OSE5" s="19"/>
      <c r="OSF5" s="19"/>
      <c r="OSG5" s="19"/>
      <c r="OSH5" s="19"/>
      <c r="OSI5" s="19"/>
      <c r="OSJ5" s="19"/>
      <c r="OSK5" s="19"/>
      <c r="OSL5" s="19"/>
      <c r="OSM5" s="19"/>
      <c r="OSN5" s="19"/>
      <c r="OSO5" s="19"/>
      <c r="OSP5" s="19"/>
      <c r="OSQ5" s="19"/>
      <c r="OSR5" s="19"/>
      <c r="OSS5" s="19"/>
      <c r="OST5" s="19"/>
      <c r="OSU5" s="19"/>
      <c r="OSV5" s="19"/>
      <c r="OSW5" s="19"/>
      <c r="OSX5" s="19"/>
      <c r="OSY5" s="19"/>
      <c r="OSZ5" s="19"/>
      <c r="OTA5" s="19"/>
      <c r="OTB5" s="19"/>
      <c r="OTC5" s="19"/>
      <c r="OTD5" s="19"/>
      <c r="OTE5" s="19"/>
      <c r="OTF5" s="19"/>
      <c r="OTG5" s="19"/>
      <c r="OTH5" s="19"/>
      <c r="OTI5" s="19"/>
      <c r="OTJ5" s="19"/>
      <c r="OTK5" s="19"/>
      <c r="OTL5" s="19"/>
      <c r="OTM5" s="19"/>
      <c r="OTN5" s="19"/>
      <c r="OTO5" s="19"/>
      <c r="OTP5" s="19"/>
      <c r="OTQ5" s="19"/>
      <c r="OTR5" s="19"/>
      <c r="OTS5" s="19"/>
      <c r="OTT5" s="19"/>
      <c r="OTU5" s="19"/>
      <c r="OTV5" s="19"/>
      <c r="OTW5" s="19"/>
      <c r="OTX5" s="19"/>
      <c r="OTY5" s="19"/>
      <c r="OTZ5" s="19"/>
      <c r="OUA5" s="19"/>
      <c r="OUB5" s="19"/>
      <c r="OUC5" s="19"/>
      <c r="OUD5" s="19"/>
      <c r="OUE5" s="19"/>
      <c r="OUF5" s="19"/>
      <c r="OUG5" s="19"/>
      <c r="OUH5" s="19"/>
      <c r="OUI5" s="19"/>
      <c r="OUJ5" s="19"/>
      <c r="OUK5" s="19"/>
      <c r="OUL5" s="19"/>
      <c r="OUM5" s="19"/>
      <c r="OUN5" s="19"/>
      <c r="OUO5" s="19"/>
      <c r="OUP5" s="19"/>
      <c r="OUQ5" s="19"/>
      <c r="OUR5" s="19"/>
      <c r="OUS5" s="19"/>
      <c r="OUT5" s="19"/>
      <c r="OUU5" s="19"/>
      <c r="OUV5" s="19"/>
      <c r="OUW5" s="19"/>
      <c r="OUX5" s="19"/>
      <c r="OUY5" s="19"/>
      <c r="OUZ5" s="19"/>
      <c r="OVA5" s="19"/>
      <c r="OVB5" s="19"/>
      <c r="OVC5" s="19"/>
      <c r="OVD5" s="19"/>
      <c r="OVE5" s="19"/>
      <c r="OVF5" s="19"/>
      <c r="OVG5" s="19"/>
      <c r="OVH5" s="19"/>
      <c r="OVI5" s="19"/>
      <c r="OVJ5" s="19"/>
      <c r="OVK5" s="19"/>
      <c r="OVL5" s="19"/>
      <c r="OVM5" s="19"/>
      <c r="OVN5" s="19"/>
      <c r="OVO5" s="19"/>
      <c r="OVP5" s="19"/>
      <c r="OVQ5" s="19"/>
      <c r="OVR5" s="19"/>
      <c r="OVS5" s="19"/>
      <c r="OVT5" s="19"/>
      <c r="OVU5" s="19"/>
      <c r="OVV5" s="19"/>
      <c r="OVW5" s="19"/>
      <c r="OVX5" s="19"/>
      <c r="OVY5" s="19"/>
      <c r="OVZ5" s="19"/>
      <c r="OWA5" s="19"/>
      <c r="OWB5" s="19"/>
      <c r="OWC5" s="19"/>
      <c r="OWD5" s="19"/>
      <c r="OWE5" s="19"/>
      <c r="OWF5" s="19"/>
      <c r="OWG5" s="19"/>
      <c r="OWH5" s="19"/>
      <c r="OWI5" s="19"/>
      <c r="OWJ5" s="19"/>
      <c r="OWK5" s="19"/>
      <c r="OWL5" s="19"/>
      <c r="OWM5" s="19"/>
      <c r="OWN5" s="19"/>
      <c r="OWO5" s="19"/>
      <c r="OWP5" s="19"/>
      <c r="OWQ5" s="19"/>
      <c r="OWR5" s="19"/>
      <c r="OWS5" s="19"/>
      <c r="OWT5" s="19"/>
      <c r="OWU5" s="19"/>
      <c r="OWV5" s="19"/>
      <c r="OWW5" s="19"/>
      <c r="OWX5" s="19"/>
      <c r="OWY5" s="19"/>
      <c r="OWZ5" s="19"/>
      <c r="OXA5" s="19"/>
      <c r="OXB5" s="19"/>
      <c r="OXC5" s="19"/>
      <c r="OXD5" s="19"/>
      <c r="OXE5" s="19"/>
      <c r="OXF5" s="19"/>
      <c r="OXG5" s="19"/>
      <c r="OXH5" s="19"/>
      <c r="OXI5" s="19"/>
      <c r="OXJ5" s="19"/>
      <c r="OXK5" s="19"/>
      <c r="OXL5" s="19"/>
      <c r="OXM5" s="19"/>
      <c r="OXN5" s="19"/>
      <c r="OXO5" s="19"/>
      <c r="OXP5" s="19"/>
      <c r="OXQ5" s="19"/>
      <c r="OXR5" s="19"/>
      <c r="OXS5" s="19"/>
      <c r="OXT5" s="19"/>
      <c r="OXU5" s="19"/>
      <c r="OXV5" s="19"/>
      <c r="OXW5" s="19"/>
      <c r="OXX5" s="19"/>
      <c r="OXY5" s="19"/>
      <c r="OXZ5" s="19"/>
      <c r="OYA5" s="19"/>
      <c r="OYB5" s="19"/>
      <c r="OYC5" s="19"/>
      <c r="OYD5" s="19"/>
      <c r="OYE5" s="19"/>
      <c r="OYF5" s="19"/>
      <c r="OYG5" s="19"/>
      <c r="OYH5" s="19"/>
      <c r="OYI5" s="19"/>
      <c r="OYJ5" s="19"/>
      <c r="OYK5" s="19"/>
      <c r="OYL5" s="19"/>
      <c r="OYM5" s="19"/>
      <c r="OYN5" s="19"/>
      <c r="OYO5" s="19"/>
      <c r="OYP5" s="19"/>
      <c r="OYQ5" s="19"/>
      <c r="OYR5" s="19"/>
      <c r="OYS5" s="19"/>
      <c r="OYT5" s="19"/>
      <c r="OYU5" s="19"/>
      <c r="OYV5" s="19"/>
      <c r="OYW5" s="19"/>
      <c r="OYX5" s="19"/>
      <c r="OYY5" s="19"/>
      <c r="OYZ5" s="19"/>
      <c r="OZA5" s="19"/>
      <c r="OZB5" s="19"/>
      <c r="OZC5" s="19"/>
      <c r="OZD5" s="19"/>
      <c r="OZE5" s="19"/>
      <c r="OZF5" s="19"/>
      <c r="OZG5" s="19"/>
      <c r="OZH5" s="19"/>
      <c r="OZI5" s="19"/>
      <c r="OZJ5" s="19"/>
      <c r="OZK5" s="19"/>
      <c r="OZL5" s="19"/>
      <c r="OZM5" s="19"/>
      <c r="OZN5" s="19"/>
      <c r="OZO5" s="19"/>
      <c r="OZP5" s="19"/>
      <c r="OZQ5" s="19"/>
      <c r="OZR5" s="19"/>
      <c r="OZS5" s="19"/>
      <c r="OZT5" s="19"/>
      <c r="OZU5" s="19"/>
      <c r="OZV5" s="19"/>
      <c r="OZW5" s="19"/>
      <c r="OZX5" s="19"/>
      <c r="OZY5" s="19"/>
      <c r="OZZ5" s="19"/>
      <c r="PAA5" s="19"/>
      <c r="PAB5" s="19"/>
      <c r="PAC5" s="19"/>
      <c r="PAD5" s="19"/>
      <c r="PAE5" s="19"/>
      <c r="PAF5" s="19"/>
      <c r="PAG5" s="19"/>
      <c r="PAH5" s="19"/>
      <c r="PAI5" s="19"/>
      <c r="PAJ5" s="19"/>
      <c r="PAK5" s="19"/>
      <c r="PAL5" s="19"/>
      <c r="PAM5" s="19"/>
      <c r="PAN5" s="19"/>
      <c r="PAO5" s="19"/>
      <c r="PAP5" s="19"/>
      <c r="PAQ5" s="19"/>
      <c r="PAR5" s="19"/>
      <c r="PAS5" s="19"/>
      <c r="PAT5" s="19"/>
      <c r="PAU5" s="19"/>
      <c r="PAV5" s="19"/>
      <c r="PAW5" s="19"/>
      <c r="PAX5" s="19"/>
      <c r="PAY5" s="19"/>
      <c r="PAZ5" s="19"/>
      <c r="PBA5" s="19"/>
      <c r="PBB5" s="19"/>
      <c r="PBC5" s="19"/>
      <c r="PBD5" s="19"/>
      <c r="PBE5" s="19"/>
      <c r="PBF5" s="19"/>
      <c r="PBG5" s="19"/>
      <c r="PBH5" s="19"/>
      <c r="PBI5" s="19"/>
      <c r="PBJ5" s="19"/>
      <c r="PBK5" s="19"/>
      <c r="PBL5" s="19"/>
      <c r="PBM5" s="19"/>
      <c r="PBN5" s="19"/>
      <c r="PBO5" s="19"/>
      <c r="PBP5" s="19"/>
      <c r="PBQ5" s="19"/>
      <c r="PBR5" s="19"/>
      <c r="PBS5" s="19"/>
      <c r="PBT5" s="19"/>
      <c r="PBU5" s="19"/>
      <c r="PBV5" s="19"/>
      <c r="PBW5" s="19"/>
      <c r="PBX5" s="19"/>
      <c r="PBY5" s="19"/>
      <c r="PBZ5" s="19"/>
      <c r="PCA5" s="19"/>
      <c r="PCB5" s="19"/>
      <c r="PCC5" s="19"/>
      <c r="PCD5" s="19"/>
      <c r="PCE5" s="19"/>
      <c r="PCF5" s="19"/>
      <c r="PCG5" s="19"/>
      <c r="PCH5" s="19"/>
      <c r="PCI5" s="19"/>
      <c r="PCJ5" s="19"/>
      <c r="PCK5" s="19"/>
      <c r="PCL5" s="19"/>
      <c r="PCM5" s="19"/>
      <c r="PCN5" s="19"/>
      <c r="PCO5" s="19"/>
      <c r="PCP5" s="19"/>
      <c r="PCQ5" s="19"/>
      <c r="PCR5" s="19"/>
      <c r="PCS5" s="19"/>
      <c r="PCT5" s="19"/>
      <c r="PCU5" s="19"/>
      <c r="PCV5" s="19"/>
      <c r="PCW5" s="19"/>
      <c r="PCX5" s="19"/>
      <c r="PCY5" s="19"/>
      <c r="PCZ5" s="19"/>
      <c r="PDA5" s="19"/>
      <c r="PDB5" s="19"/>
      <c r="PDC5" s="19"/>
      <c r="PDD5" s="19"/>
      <c r="PDE5" s="19"/>
      <c r="PDF5" s="19"/>
      <c r="PDG5" s="19"/>
      <c r="PDH5" s="19"/>
      <c r="PDI5" s="19"/>
      <c r="PDJ5" s="19"/>
      <c r="PDK5" s="19"/>
      <c r="PDL5" s="19"/>
      <c r="PDM5" s="19"/>
      <c r="PDN5" s="19"/>
      <c r="PDO5" s="19"/>
      <c r="PDP5" s="19"/>
      <c r="PDQ5" s="19"/>
      <c r="PDR5" s="19"/>
      <c r="PDS5" s="19"/>
      <c r="PDT5" s="19"/>
      <c r="PDU5" s="19"/>
      <c r="PDV5" s="19"/>
      <c r="PDW5" s="19"/>
      <c r="PDX5" s="19"/>
      <c r="PDY5" s="19"/>
      <c r="PDZ5" s="19"/>
      <c r="PEA5" s="19"/>
      <c r="PEB5" s="19"/>
      <c r="PEC5" s="19"/>
      <c r="PED5" s="19"/>
      <c r="PEE5" s="19"/>
      <c r="PEF5" s="19"/>
      <c r="PEG5" s="19"/>
      <c r="PEH5" s="19"/>
      <c r="PEI5" s="19"/>
      <c r="PEJ5" s="19"/>
      <c r="PEK5" s="19"/>
      <c r="PEL5" s="19"/>
      <c r="PEM5" s="19"/>
      <c r="PEN5" s="19"/>
      <c r="PEO5" s="19"/>
      <c r="PEP5" s="19"/>
      <c r="PEQ5" s="19"/>
      <c r="PER5" s="19"/>
      <c r="PES5" s="19"/>
      <c r="PET5" s="19"/>
      <c r="PEU5" s="19"/>
      <c r="PEV5" s="19"/>
      <c r="PEW5" s="19"/>
      <c r="PEX5" s="19"/>
      <c r="PEY5" s="19"/>
      <c r="PEZ5" s="19"/>
      <c r="PFA5" s="19"/>
      <c r="PFB5" s="19"/>
      <c r="PFC5" s="19"/>
      <c r="PFD5" s="19"/>
      <c r="PFE5" s="19"/>
      <c r="PFF5" s="19"/>
      <c r="PFG5" s="19"/>
      <c r="PFH5" s="19"/>
      <c r="PFI5" s="19"/>
      <c r="PFJ5" s="19"/>
      <c r="PFK5" s="19"/>
      <c r="PFL5" s="19"/>
      <c r="PFM5" s="19"/>
      <c r="PFN5" s="19"/>
      <c r="PFO5" s="19"/>
      <c r="PFP5" s="19"/>
      <c r="PFQ5" s="19"/>
      <c r="PFR5" s="19"/>
      <c r="PFS5" s="19"/>
      <c r="PFT5" s="19"/>
      <c r="PFU5" s="19"/>
      <c r="PFV5" s="19"/>
      <c r="PFW5" s="19"/>
      <c r="PFX5" s="19"/>
      <c r="PFY5" s="19"/>
      <c r="PFZ5" s="19"/>
      <c r="PGA5" s="19"/>
      <c r="PGB5" s="19"/>
      <c r="PGC5" s="19"/>
      <c r="PGD5" s="19"/>
      <c r="PGE5" s="19"/>
      <c r="PGF5" s="19"/>
      <c r="PGG5" s="19"/>
      <c r="PGH5" s="19"/>
      <c r="PGI5" s="19"/>
      <c r="PGJ5" s="19"/>
      <c r="PGK5" s="19"/>
      <c r="PGL5" s="19"/>
      <c r="PGM5" s="19"/>
      <c r="PGN5" s="19"/>
      <c r="PGO5" s="19"/>
      <c r="PGP5" s="19"/>
      <c r="PGQ5" s="19"/>
      <c r="PGR5" s="19"/>
      <c r="PGS5" s="19"/>
      <c r="PGT5" s="19"/>
      <c r="PGU5" s="19"/>
      <c r="PGV5" s="19"/>
      <c r="PGW5" s="19"/>
      <c r="PGX5" s="19"/>
      <c r="PGY5" s="19"/>
      <c r="PGZ5" s="19"/>
      <c r="PHA5" s="19"/>
      <c r="PHB5" s="19"/>
      <c r="PHC5" s="19"/>
      <c r="PHD5" s="19"/>
      <c r="PHE5" s="19"/>
      <c r="PHF5" s="19"/>
      <c r="PHG5" s="19"/>
      <c r="PHH5" s="19"/>
      <c r="PHI5" s="19"/>
      <c r="PHJ5" s="19"/>
      <c r="PHK5" s="19"/>
      <c r="PHL5" s="19"/>
      <c r="PHM5" s="19"/>
      <c r="PHN5" s="19"/>
      <c r="PHO5" s="19"/>
      <c r="PHP5" s="19"/>
      <c r="PHQ5" s="19"/>
      <c r="PHR5" s="19"/>
      <c r="PHS5" s="19"/>
      <c r="PHT5" s="19"/>
      <c r="PHU5" s="19"/>
      <c r="PHV5" s="19"/>
      <c r="PHW5" s="19"/>
      <c r="PHX5" s="19"/>
      <c r="PHY5" s="19"/>
      <c r="PHZ5" s="19"/>
      <c r="PIA5" s="19"/>
      <c r="PIB5" s="19"/>
      <c r="PIC5" s="19"/>
      <c r="PID5" s="19"/>
      <c r="PIE5" s="19"/>
      <c r="PIF5" s="19"/>
      <c r="PIG5" s="19"/>
      <c r="PIH5" s="19"/>
      <c r="PII5" s="19"/>
      <c r="PIJ5" s="19"/>
      <c r="PIK5" s="19"/>
      <c r="PIL5" s="19"/>
      <c r="PIM5" s="19"/>
      <c r="PIN5" s="19"/>
      <c r="PIO5" s="19"/>
      <c r="PIP5" s="19"/>
      <c r="PIQ5" s="19"/>
      <c r="PIR5" s="19"/>
      <c r="PIS5" s="19"/>
      <c r="PIT5" s="19"/>
      <c r="PIU5" s="19"/>
      <c r="PIV5" s="19"/>
      <c r="PIW5" s="19"/>
      <c r="PIX5" s="19"/>
      <c r="PIY5" s="19"/>
      <c r="PIZ5" s="19"/>
      <c r="PJA5" s="19"/>
      <c r="PJB5" s="19"/>
      <c r="PJC5" s="19"/>
      <c r="PJD5" s="19"/>
      <c r="PJE5" s="19"/>
      <c r="PJF5" s="19"/>
      <c r="PJG5" s="19"/>
      <c r="PJH5" s="19"/>
      <c r="PJI5" s="19"/>
      <c r="PJJ5" s="19"/>
      <c r="PJK5" s="19"/>
      <c r="PJL5" s="19"/>
      <c r="PJM5" s="19"/>
      <c r="PJN5" s="19"/>
      <c r="PJO5" s="19"/>
      <c r="PJP5" s="19"/>
      <c r="PJQ5" s="19"/>
      <c r="PJR5" s="19"/>
      <c r="PJS5" s="19"/>
      <c r="PJT5" s="19"/>
      <c r="PJU5" s="19"/>
      <c r="PJV5" s="19"/>
      <c r="PJW5" s="19"/>
      <c r="PJX5" s="19"/>
      <c r="PJY5" s="19"/>
      <c r="PJZ5" s="19"/>
      <c r="PKA5" s="19"/>
      <c r="PKB5" s="19"/>
      <c r="PKC5" s="19"/>
      <c r="PKD5" s="19"/>
      <c r="PKE5" s="19"/>
      <c r="PKF5" s="19"/>
      <c r="PKG5" s="19"/>
      <c r="PKH5" s="19"/>
      <c r="PKI5" s="19"/>
      <c r="PKJ5" s="19"/>
      <c r="PKK5" s="19"/>
      <c r="PKL5" s="19"/>
      <c r="PKM5" s="19"/>
      <c r="PKN5" s="19"/>
      <c r="PKO5" s="19"/>
      <c r="PKP5" s="19"/>
      <c r="PKQ5" s="19"/>
      <c r="PKR5" s="19"/>
      <c r="PKS5" s="19"/>
      <c r="PKT5" s="19"/>
      <c r="PKU5" s="19"/>
      <c r="PKV5" s="19"/>
      <c r="PKW5" s="19"/>
      <c r="PKX5" s="19"/>
      <c r="PKY5" s="19"/>
      <c r="PKZ5" s="19"/>
      <c r="PLA5" s="19"/>
      <c r="PLB5" s="19"/>
      <c r="PLC5" s="19"/>
      <c r="PLD5" s="19"/>
      <c r="PLE5" s="19"/>
      <c r="PLF5" s="19"/>
      <c r="PLG5" s="19"/>
      <c r="PLH5" s="19"/>
      <c r="PLI5" s="19"/>
      <c r="PLJ5" s="19"/>
      <c r="PLK5" s="19"/>
      <c r="PLL5" s="19"/>
      <c r="PLM5" s="19"/>
      <c r="PLN5" s="19"/>
      <c r="PLO5" s="19"/>
      <c r="PLP5" s="19"/>
      <c r="PLQ5" s="19"/>
      <c r="PLR5" s="19"/>
      <c r="PLS5" s="19"/>
      <c r="PLT5" s="19"/>
      <c r="PLU5" s="19"/>
      <c r="PLV5" s="19"/>
      <c r="PLW5" s="19"/>
      <c r="PLX5" s="19"/>
      <c r="PLY5" s="19"/>
      <c r="PLZ5" s="19"/>
      <c r="PMA5" s="19"/>
      <c r="PMB5" s="19"/>
      <c r="PMC5" s="19"/>
      <c r="PMD5" s="19"/>
      <c r="PME5" s="19"/>
      <c r="PMF5" s="19"/>
      <c r="PMG5" s="19"/>
      <c r="PMH5" s="19"/>
      <c r="PMI5" s="19"/>
      <c r="PMJ5" s="19"/>
      <c r="PMK5" s="19"/>
      <c r="PML5" s="19"/>
      <c r="PMM5" s="19"/>
      <c r="PMN5" s="19"/>
      <c r="PMO5" s="19"/>
      <c r="PMP5" s="19"/>
      <c r="PMQ5" s="19"/>
      <c r="PMR5" s="19"/>
      <c r="PMS5" s="19"/>
      <c r="PMT5" s="19"/>
      <c r="PMU5" s="19"/>
      <c r="PMV5" s="19"/>
      <c r="PMW5" s="19"/>
      <c r="PMX5" s="19"/>
      <c r="PMY5" s="19"/>
      <c r="PMZ5" s="19"/>
      <c r="PNA5" s="19"/>
      <c r="PNB5" s="19"/>
      <c r="PNC5" s="19"/>
      <c r="PND5" s="19"/>
      <c r="PNE5" s="19"/>
      <c r="PNF5" s="19"/>
      <c r="PNG5" s="19"/>
      <c r="PNH5" s="19"/>
      <c r="PNI5" s="19"/>
      <c r="PNJ5" s="19"/>
      <c r="PNK5" s="19"/>
      <c r="PNL5" s="19"/>
      <c r="PNM5" s="19"/>
      <c r="PNN5" s="19"/>
      <c r="PNO5" s="19"/>
      <c r="PNP5" s="19"/>
      <c r="PNQ5" s="19"/>
      <c r="PNR5" s="19"/>
      <c r="PNS5" s="19"/>
      <c r="PNT5" s="19"/>
      <c r="PNU5" s="19"/>
      <c r="PNV5" s="19"/>
      <c r="PNW5" s="19"/>
      <c r="PNX5" s="19"/>
      <c r="PNY5" s="19"/>
      <c r="PNZ5" s="19"/>
      <c r="POA5" s="19"/>
      <c r="POB5" s="19"/>
      <c r="POC5" s="19"/>
      <c r="POD5" s="19"/>
      <c r="POE5" s="19"/>
      <c r="POF5" s="19"/>
      <c r="POG5" s="19"/>
      <c r="POH5" s="19"/>
      <c r="POI5" s="19"/>
      <c r="POJ5" s="19"/>
      <c r="POK5" s="19"/>
      <c r="POL5" s="19"/>
      <c r="POM5" s="19"/>
      <c r="PON5" s="19"/>
      <c r="POO5" s="19"/>
      <c r="POP5" s="19"/>
      <c r="POQ5" s="19"/>
      <c r="POR5" s="19"/>
      <c r="POS5" s="19"/>
      <c r="POT5" s="19"/>
      <c r="POU5" s="19"/>
      <c r="POV5" s="19"/>
      <c r="POW5" s="19"/>
      <c r="POX5" s="19"/>
      <c r="POY5" s="19"/>
      <c r="POZ5" s="19"/>
      <c r="PPA5" s="19"/>
      <c r="PPB5" s="19"/>
      <c r="PPC5" s="19"/>
      <c r="PPD5" s="19"/>
      <c r="PPE5" s="19"/>
      <c r="PPF5" s="19"/>
      <c r="PPG5" s="19"/>
      <c r="PPH5" s="19"/>
      <c r="PPI5" s="19"/>
      <c r="PPJ5" s="19"/>
      <c r="PPK5" s="19"/>
      <c r="PPL5" s="19"/>
      <c r="PPM5" s="19"/>
      <c r="PPN5" s="19"/>
      <c r="PPO5" s="19"/>
      <c r="PPP5" s="19"/>
      <c r="PPQ5" s="19"/>
      <c r="PPR5" s="19"/>
      <c r="PPS5" s="19"/>
      <c r="PPT5" s="19"/>
      <c r="PPU5" s="19"/>
      <c r="PPV5" s="19"/>
      <c r="PPW5" s="19"/>
      <c r="PPX5" s="19"/>
      <c r="PPY5" s="19"/>
      <c r="PPZ5" s="19"/>
      <c r="PQA5" s="19"/>
      <c r="PQB5" s="19"/>
      <c r="PQC5" s="19"/>
      <c r="PQD5" s="19"/>
      <c r="PQE5" s="19"/>
      <c r="PQF5" s="19"/>
      <c r="PQG5" s="19"/>
      <c r="PQH5" s="19"/>
      <c r="PQI5" s="19"/>
      <c r="PQJ5" s="19"/>
      <c r="PQK5" s="19"/>
      <c r="PQL5" s="19"/>
      <c r="PQM5" s="19"/>
      <c r="PQN5" s="19"/>
      <c r="PQO5" s="19"/>
      <c r="PQP5" s="19"/>
      <c r="PQQ5" s="19"/>
      <c r="PQR5" s="19"/>
      <c r="PQS5" s="19"/>
      <c r="PQT5" s="19"/>
      <c r="PQU5" s="19"/>
      <c r="PQV5" s="19"/>
      <c r="PQW5" s="19"/>
      <c r="PQX5" s="19"/>
      <c r="PQY5" s="19"/>
      <c r="PQZ5" s="19"/>
      <c r="PRA5" s="19"/>
      <c r="PRB5" s="19"/>
      <c r="PRC5" s="19"/>
      <c r="PRD5" s="19"/>
      <c r="PRE5" s="19"/>
      <c r="PRF5" s="19"/>
      <c r="PRG5" s="19"/>
      <c r="PRH5" s="19"/>
      <c r="PRI5" s="19"/>
      <c r="PRJ5" s="19"/>
      <c r="PRK5" s="19"/>
      <c r="PRL5" s="19"/>
      <c r="PRM5" s="19"/>
      <c r="PRN5" s="19"/>
      <c r="PRO5" s="19"/>
      <c r="PRP5" s="19"/>
      <c r="PRQ5" s="19"/>
      <c r="PRR5" s="19"/>
      <c r="PRS5" s="19"/>
      <c r="PRT5" s="19"/>
      <c r="PRU5" s="19"/>
      <c r="PRV5" s="19"/>
      <c r="PRW5" s="19"/>
      <c r="PRX5" s="19"/>
      <c r="PRY5" s="19"/>
      <c r="PRZ5" s="19"/>
      <c r="PSA5" s="19"/>
      <c r="PSB5" s="19"/>
      <c r="PSC5" s="19"/>
      <c r="PSD5" s="19"/>
      <c r="PSE5" s="19"/>
      <c r="PSF5" s="19"/>
      <c r="PSG5" s="19"/>
      <c r="PSH5" s="19"/>
      <c r="PSI5" s="19"/>
      <c r="PSJ5" s="19"/>
      <c r="PSK5" s="19"/>
      <c r="PSL5" s="19"/>
      <c r="PSM5" s="19"/>
      <c r="PSN5" s="19"/>
      <c r="PSO5" s="19"/>
      <c r="PSP5" s="19"/>
      <c r="PSQ5" s="19"/>
      <c r="PSR5" s="19"/>
      <c r="PSS5" s="19"/>
      <c r="PST5" s="19"/>
      <c r="PSU5" s="19"/>
      <c r="PSV5" s="19"/>
      <c r="PSW5" s="19"/>
      <c r="PSX5" s="19"/>
      <c r="PSY5" s="19"/>
      <c r="PSZ5" s="19"/>
      <c r="PTA5" s="19"/>
      <c r="PTB5" s="19"/>
      <c r="PTC5" s="19"/>
      <c r="PTD5" s="19"/>
      <c r="PTE5" s="19"/>
      <c r="PTF5" s="19"/>
      <c r="PTG5" s="19"/>
      <c r="PTH5" s="19"/>
      <c r="PTI5" s="19"/>
      <c r="PTJ5" s="19"/>
      <c r="PTK5" s="19"/>
      <c r="PTL5" s="19"/>
      <c r="PTM5" s="19"/>
      <c r="PTN5" s="19"/>
      <c r="PTO5" s="19"/>
      <c r="PTP5" s="19"/>
      <c r="PTQ5" s="19"/>
      <c r="PTR5" s="19"/>
      <c r="PTS5" s="19"/>
      <c r="PTT5" s="19"/>
      <c r="PTU5" s="19"/>
      <c r="PTV5" s="19"/>
      <c r="PTW5" s="19"/>
      <c r="PTX5" s="19"/>
      <c r="PTY5" s="19"/>
      <c r="PTZ5" s="19"/>
      <c r="PUA5" s="19"/>
      <c r="PUB5" s="19"/>
      <c r="PUC5" s="19"/>
      <c r="PUD5" s="19"/>
      <c r="PUE5" s="19"/>
      <c r="PUF5" s="19"/>
      <c r="PUG5" s="19"/>
      <c r="PUH5" s="19"/>
      <c r="PUI5" s="19"/>
      <c r="PUJ5" s="19"/>
      <c r="PUK5" s="19"/>
      <c r="PUL5" s="19"/>
      <c r="PUM5" s="19"/>
      <c r="PUN5" s="19"/>
      <c r="PUO5" s="19"/>
      <c r="PUP5" s="19"/>
      <c r="PUQ5" s="19"/>
      <c r="PUR5" s="19"/>
      <c r="PUS5" s="19"/>
      <c r="PUT5" s="19"/>
      <c r="PUU5" s="19"/>
      <c r="PUV5" s="19"/>
      <c r="PUW5" s="19"/>
      <c r="PUX5" s="19"/>
      <c r="PUY5" s="19"/>
      <c r="PUZ5" s="19"/>
      <c r="PVA5" s="19"/>
      <c r="PVB5" s="19"/>
      <c r="PVC5" s="19"/>
      <c r="PVD5" s="19"/>
      <c r="PVE5" s="19"/>
      <c r="PVF5" s="19"/>
      <c r="PVG5" s="19"/>
      <c r="PVH5" s="19"/>
      <c r="PVI5" s="19"/>
      <c r="PVJ5" s="19"/>
      <c r="PVK5" s="19"/>
      <c r="PVL5" s="19"/>
      <c r="PVM5" s="19"/>
      <c r="PVN5" s="19"/>
      <c r="PVO5" s="19"/>
      <c r="PVP5" s="19"/>
      <c r="PVQ5" s="19"/>
      <c r="PVR5" s="19"/>
      <c r="PVS5" s="19"/>
      <c r="PVT5" s="19"/>
      <c r="PVU5" s="19"/>
      <c r="PVV5" s="19"/>
      <c r="PVW5" s="19"/>
      <c r="PVX5" s="19"/>
      <c r="PVY5" s="19"/>
      <c r="PVZ5" s="19"/>
      <c r="PWA5" s="19"/>
      <c r="PWB5" s="19"/>
      <c r="PWC5" s="19"/>
      <c r="PWD5" s="19"/>
      <c r="PWE5" s="19"/>
      <c r="PWF5" s="19"/>
      <c r="PWG5" s="19"/>
      <c r="PWH5" s="19"/>
      <c r="PWI5" s="19"/>
      <c r="PWJ5" s="19"/>
      <c r="PWK5" s="19"/>
      <c r="PWL5" s="19"/>
      <c r="PWM5" s="19"/>
      <c r="PWN5" s="19"/>
      <c r="PWO5" s="19"/>
      <c r="PWP5" s="19"/>
      <c r="PWQ5" s="19"/>
      <c r="PWR5" s="19"/>
      <c r="PWS5" s="19"/>
      <c r="PWT5" s="19"/>
      <c r="PWU5" s="19"/>
      <c r="PWV5" s="19"/>
      <c r="PWW5" s="19"/>
      <c r="PWX5" s="19"/>
      <c r="PWY5" s="19"/>
      <c r="PWZ5" s="19"/>
      <c r="PXA5" s="19"/>
      <c r="PXB5" s="19"/>
      <c r="PXC5" s="19"/>
      <c r="PXD5" s="19"/>
      <c r="PXE5" s="19"/>
      <c r="PXF5" s="19"/>
      <c r="PXG5" s="19"/>
      <c r="PXH5" s="19"/>
      <c r="PXI5" s="19"/>
      <c r="PXJ5" s="19"/>
      <c r="PXK5" s="19"/>
      <c r="PXL5" s="19"/>
      <c r="PXM5" s="19"/>
      <c r="PXN5" s="19"/>
      <c r="PXO5" s="19"/>
      <c r="PXP5" s="19"/>
      <c r="PXQ5" s="19"/>
      <c r="PXR5" s="19"/>
      <c r="PXS5" s="19"/>
      <c r="PXT5" s="19"/>
      <c r="PXU5" s="19"/>
      <c r="PXV5" s="19"/>
      <c r="PXW5" s="19"/>
      <c r="PXX5" s="19"/>
      <c r="PXY5" s="19"/>
      <c r="PXZ5" s="19"/>
      <c r="PYA5" s="19"/>
      <c r="PYB5" s="19"/>
      <c r="PYC5" s="19"/>
      <c r="PYD5" s="19"/>
      <c r="PYE5" s="19"/>
      <c r="PYF5" s="19"/>
      <c r="PYG5" s="19"/>
      <c r="PYH5" s="19"/>
      <c r="PYI5" s="19"/>
      <c r="PYJ5" s="19"/>
      <c r="PYK5" s="19"/>
      <c r="PYL5" s="19"/>
      <c r="PYM5" s="19"/>
      <c r="PYN5" s="19"/>
      <c r="PYO5" s="19"/>
      <c r="PYP5" s="19"/>
      <c r="PYQ5" s="19"/>
      <c r="PYR5" s="19"/>
      <c r="PYS5" s="19"/>
      <c r="PYT5" s="19"/>
      <c r="PYU5" s="19"/>
      <c r="PYV5" s="19"/>
      <c r="PYW5" s="19"/>
      <c r="PYX5" s="19"/>
      <c r="PYY5" s="19"/>
      <c r="PYZ5" s="19"/>
      <c r="PZA5" s="19"/>
      <c r="PZB5" s="19"/>
      <c r="PZC5" s="19"/>
      <c r="PZD5" s="19"/>
      <c r="PZE5" s="19"/>
      <c r="PZF5" s="19"/>
      <c r="PZG5" s="19"/>
      <c r="PZH5" s="19"/>
      <c r="PZI5" s="19"/>
      <c r="PZJ5" s="19"/>
      <c r="PZK5" s="19"/>
      <c r="PZL5" s="19"/>
      <c r="PZM5" s="19"/>
      <c r="PZN5" s="19"/>
      <c r="PZO5" s="19"/>
      <c r="PZP5" s="19"/>
      <c r="PZQ5" s="19"/>
      <c r="PZR5" s="19"/>
      <c r="PZS5" s="19"/>
      <c r="PZT5" s="19"/>
      <c r="PZU5" s="19"/>
      <c r="PZV5" s="19"/>
      <c r="PZW5" s="19"/>
      <c r="PZX5" s="19"/>
      <c r="PZY5" s="19"/>
      <c r="PZZ5" s="19"/>
      <c r="QAA5" s="19"/>
      <c r="QAB5" s="19"/>
      <c r="QAC5" s="19"/>
      <c r="QAD5" s="19"/>
      <c r="QAE5" s="19"/>
      <c r="QAF5" s="19"/>
      <c r="QAG5" s="19"/>
      <c r="QAH5" s="19"/>
      <c r="QAI5" s="19"/>
      <c r="QAJ5" s="19"/>
      <c r="QAK5" s="19"/>
      <c r="QAL5" s="19"/>
      <c r="QAM5" s="19"/>
      <c r="QAN5" s="19"/>
      <c r="QAO5" s="19"/>
      <c r="QAP5" s="19"/>
      <c r="QAQ5" s="19"/>
      <c r="QAR5" s="19"/>
      <c r="QAS5" s="19"/>
      <c r="QAT5" s="19"/>
      <c r="QAU5" s="19"/>
      <c r="QAV5" s="19"/>
      <c r="QAW5" s="19"/>
      <c r="QAX5" s="19"/>
      <c r="QAY5" s="19"/>
      <c r="QAZ5" s="19"/>
      <c r="QBA5" s="19"/>
      <c r="QBB5" s="19"/>
      <c r="QBC5" s="19"/>
      <c r="QBD5" s="19"/>
      <c r="QBE5" s="19"/>
      <c r="QBF5" s="19"/>
      <c r="QBG5" s="19"/>
      <c r="QBH5" s="19"/>
      <c r="QBI5" s="19"/>
      <c r="QBJ5" s="19"/>
      <c r="QBK5" s="19"/>
      <c r="QBL5" s="19"/>
      <c r="QBM5" s="19"/>
      <c r="QBN5" s="19"/>
      <c r="QBO5" s="19"/>
      <c r="QBP5" s="19"/>
      <c r="QBQ5" s="19"/>
      <c r="QBR5" s="19"/>
      <c r="QBS5" s="19"/>
      <c r="QBT5" s="19"/>
      <c r="QBU5" s="19"/>
      <c r="QBV5" s="19"/>
      <c r="QBW5" s="19"/>
      <c r="QBX5" s="19"/>
      <c r="QBY5" s="19"/>
      <c r="QBZ5" s="19"/>
      <c r="QCA5" s="19"/>
      <c r="QCB5" s="19"/>
      <c r="QCC5" s="19"/>
      <c r="QCD5" s="19"/>
      <c r="QCE5" s="19"/>
      <c r="QCF5" s="19"/>
      <c r="QCG5" s="19"/>
      <c r="QCH5" s="19"/>
      <c r="QCI5" s="19"/>
      <c r="QCJ5" s="19"/>
      <c r="QCK5" s="19"/>
      <c r="QCL5" s="19"/>
      <c r="QCM5" s="19"/>
      <c r="QCN5" s="19"/>
      <c r="QCO5" s="19"/>
      <c r="QCP5" s="19"/>
      <c r="QCQ5" s="19"/>
      <c r="QCR5" s="19"/>
      <c r="QCS5" s="19"/>
      <c r="QCT5" s="19"/>
      <c r="QCU5" s="19"/>
      <c r="QCV5" s="19"/>
      <c r="QCW5" s="19"/>
      <c r="QCX5" s="19"/>
      <c r="QCY5" s="19"/>
      <c r="QCZ5" s="19"/>
      <c r="QDA5" s="19"/>
      <c r="QDB5" s="19"/>
      <c r="QDC5" s="19"/>
      <c r="QDD5" s="19"/>
      <c r="QDE5" s="19"/>
      <c r="QDF5" s="19"/>
      <c r="QDG5" s="19"/>
      <c r="QDH5" s="19"/>
      <c r="QDI5" s="19"/>
      <c r="QDJ5" s="19"/>
      <c r="QDK5" s="19"/>
      <c r="QDL5" s="19"/>
      <c r="QDM5" s="19"/>
      <c r="QDN5" s="19"/>
      <c r="QDO5" s="19"/>
      <c r="QDP5" s="19"/>
      <c r="QDQ5" s="19"/>
      <c r="QDR5" s="19"/>
      <c r="QDS5" s="19"/>
      <c r="QDT5" s="19"/>
      <c r="QDU5" s="19"/>
      <c r="QDV5" s="19"/>
      <c r="QDW5" s="19"/>
      <c r="QDX5" s="19"/>
      <c r="QDY5" s="19"/>
      <c r="QDZ5" s="19"/>
      <c r="QEA5" s="19"/>
      <c r="QEB5" s="19"/>
      <c r="QEC5" s="19"/>
      <c r="QED5" s="19"/>
      <c r="QEE5" s="19"/>
      <c r="QEF5" s="19"/>
      <c r="QEG5" s="19"/>
      <c r="QEH5" s="19"/>
      <c r="QEI5" s="19"/>
      <c r="QEJ5" s="19"/>
      <c r="QEK5" s="19"/>
      <c r="QEL5" s="19"/>
      <c r="QEM5" s="19"/>
      <c r="QEN5" s="19"/>
      <c r="QEO5" s="19"/>
      <c r="QEP5" s="19"/>
      <c r="QEQ5" s="19"/>
      <c r="QER5" s="19"/>
      <c r="QES5" s="19"/>
      <c r="QET5" s="19"/>
      <c r="QEU5" s="19"/>
      <c r="QEV5" s="19"/>
      <c r="QEW5" s="19"/>
      <c r="QEX5" s="19"/>
      <c r="QEY5" s="19"/>
      <c r="QEZ5" s="19"/>
      <c r="QFA5" s="19"/>
      <c r="QFB5" s="19"/>
      <c r="QFC5" s="19"/>
      <c r="QFD5" s="19"/>
      <c r="QFE5" s="19"/>
      <c r="QFF5" s="19"/>
      <c r="QFG5" s="19"/>
      <c r="QFH5" s="19"/>
      <c r="QFI5" s="19"/>
      <c r="QFJ5" s="19"/>
      <c r="QFK5" s="19"/>
      <c r="QFL5" s="19"/>
      <c r="QFM5" s="19"/>
      <c r="QFN5" s="19"/>
      <c r="QFO5" s="19"/>
      <c r="QFP5" s="19"/>
      <c r="QFQ5" s="19"/>
      <c r="QFR5" s="19"/>
      <c r="QFS5" s="19"/>
      <c r="QFT5" s="19"/>
      <c r="QFU5" s="19"/>
      <c r="QFV5" s="19"/>
      <c r="QFW5" s="19"/>
      <c r="QFX5" s="19"/>
      <c r="QFY5" s="19"/>
      <c r="QFZ5" s="19"/>
      <c r="QGA5" s="19"/>
      <c r="QGB5" s="19"/>
      <c r="QGC5" s="19"/>
      <c r="QGD5" s="19"/>
      <c r="QGE5" s="19"/>
      <c r="QGF5" s="19"/>
      <c r="QGG5" s="19"/>
      <c r="QGH5" s="19"/>
      <c r="QGI5" s="19"/>
      <c r="QGJ5" s="19"/>
      <c r="QGK5" s="19"/>
      <c r="QGL5" s="19"/>
      <c r="QGM5" s="19"/>
      <c r="QGN5" s="19"/>
      <c r="QGO5" s="19"/>
      <c r="QGP5" s="19"/>
      <c r="QGQ5" s="19"/>
      <c r="QGR5" s="19"/>
      <c r="QGS5" s="19"/>
      <c r="QGT5" s="19"/>
      <c r="QGU5" s="19"/>
      <c r="QGV5" s="19"/>
      <c r="QGW5" s="19"/>
      <c r="QGX5" s="19"/>
      <c r="QGY5" s="19"/>
      <c r="QGZ5" s="19"/>
      <c r="QHA5" s="19"/>
      <c r="QHB5" s="19"/>
      <c r="QHC5" s="19"/>
      <c r="QHD5" s="19"/>
      <c r="QHE5" s="19"/>
      <c r="QHF5" s="19"/>
      <c r="QHG5" s="19"/>
      <c r="QHH5" s="19"/>
      <c r="QHI5" s="19"/>
      <c r="QHJ5" s="19"/>
      <c r="QHK5" s="19"/>
      <c r="QHL5" s="19"/>
      <c r="QHM5" s="19"/>
      <c r="QHN5" s="19"/>
      <c r="QHO5" s="19"/>
      <c r="QHP5" s="19"/>
      <c r="QHQ5" s="19"/>
      <c r="QHR5" s="19"/>
      <c r="QHS5" s="19"/>
      <c r="QHT5" s="19"/>
      <c r="QHU5" s="19"/>
      <c r="QHV5" s="19"/>
      <c r="QHW5" s="19"/>
      <c r="QHX5" s="19"/>
      <c r="QHY5" s="19"/>
      <c r="QHZ5" s="19"/>
      <c r="QIA5" s="19"/>
      <c r="QIB5" s="19"/>
      <c r="QIC5" s="19"/>
      <c r="QID5" s="19"/>
      <c r="QIE5" s="19"/>
      <c r="QIF5" s="19"/>
      <c r="QIG5" s="19"/>
      <c r="QIH5" s="19"/>
      <c r="QII5" s="19"/>
      <c r="QIJ5" s="19"/>
      <c r="QIK5" s="19"/>
      <c r="QIL5" s="19"/>
      <c r="QIM5" s="19"/>
      <c r="QIN5" s="19"/>
      <c r="QIO5" s="19"/>
      <c r="QIP5" s="19"/>
      <c r="QIQ5" s="19"/>
      <c r="QIR5" s="19"/>
      <c r="QIS5" s="19"/>
      <c r="QIT5" s="19"/>
      <c r="QIU5" s="19"/>
      <c r="QIV5" s="19"/>
      <c r="QIW5" s="19"/>
      <c r="QIX5" s="19"/>
      <c r="QIY5" s="19"/>
      <c r="QIZ5" s="19"/>
      <c r="QJA5" s="19"/>
      <c r="QJB5" s="19"/>
      <c r="QJC5" s="19"/>
      <c r="QJD5" s="19"/>
      <c r="QJE5" s="19"/>
      <c r="QJF5" s="19"/>
      <c r="QJG5" s="19"/>
      <c r="QJH5" s="19"/>
      <c r="QJI5" s="19"/>
      <c r="QJJ5" s="19"/>
      <c r="QJK5" s="19"/>
      <c r="QJL5" s="19"/>
      <c r="QJM5" s="19"/>
      <c r="QJN5" s="19"/>
      <c r="QJO5" s="19"/>
      <c r="QJP5" s="19"/>
      <c r="QJQ5" s="19"/>
      <c r="QJR5" s="19"/>
      <c r="QJS5" s="19"/>
      <c r="QJT5" s="19"/>
      <c r="QJU5" s="19"/>
      <c r="QJV5" s="19"/>
      <c r="QJW5" s="19"/>
      <c r="QJX5" s="19"/>
      <c r="QJY5" s="19"/>
      <c r="QJZ5" s="19"/>
      <c r="QKA5" s="19"/>
      <c r="QKB5" s="19"/>
      <c r="QKC5" s="19"/>
      <c r="QKD5" s="19"/>
      <c r="QKE5" s="19"/>
      <c r="QKF5" s="19"/>
      <c r="QKG5" s="19"/>
      <c r="QKH5" s="19"/>
      <c r="QKI5" s="19"/>
      <c r="QKJ5" s="19"/>
      <c r="QKK5" s="19"/>
      <c r="QKL5" s="19"/>
      <c r="QKM5" s="19"/>
      <c r="QKN5" s="19"/>
      <c r="QKO5" s="19"/>
      <c r="QKP5" s="19"/>
      <c r="QKQ5" s="19"/>
      <c r="QKR5" s="19"/>
      <c r="QKS5" s="19"/>
      <c r="QKT5" s="19"/>
      <c r="QKU5" s="19"/>
      <c r="QKV5" s="19"/>
      <c r="QKW5" s="19"/>
      <c r="QKX5" s="19"/>
      <c r="QKY5" s="19"/>
      <c r="QKZ5" s="19"/>
      <c r="QLA5" s="19"/>
      <c r="QLB5" s="19"/>
      <c r="QLC5" s="19"/>
      <c r="QLD5" s="19"/>
      <c r="QLE5" s="19"/>
      <c r="QLF5" s="19"/>
      <c r="QLG5" s="19"/>
      <c r="QLH5" s="19"/>
      <c r="QLI5" s="19"/>
      <c r="QLJ5" s="19"/>
      <c r="QLK5" s="19"/>
      <c r="QLL5" s="19"/>
      <c r="QLM5" s="19"/>
      <c r="QLN5" s="19"/>
      <c r="QLO5" s="19"/>
      <c r="QLP5" s="19"/>
      <c r="QLQ5" s="19"/>
      <c r="QLR5" s="19"/>
      <c r="QLS5" s="19"/>
      <c r="QLT5" s="19"/>
      <c r="QLU5" s="19"/>
      <c r="QLV5" s="19"/>
      <c r="QLW5" s="19"/>
      <c r="QLX5" s="19"/>
      <c r="QLY5" s="19"/>
      <c r="QLZ5" s="19"/>
      <c r="QMA5" s="19"/>
      <c r="QMB5" s="19"/>
      <c r="QMC5" s="19"/>
      <c r="QMD5" s="19"/>
      <c r="QME5" s="19"/>
      <c r="QMF5" s="19"/>
      <c r="QMG5" s="19"/>
      <c r="QMH5" s="19"/>
      <c r="QMI5" s="19"/>
      <c r="QMJ5" s="19"/>
      <c r="QMK5" s="19"/>
      <c r="QML5" s="19"/>
      <c r="QMM5" s="19"/>
      <c r="QMN5" s="19"/>
      <c r="QMO5" s="19"/>
      <c r="QMP5" s="19"/>
      <c r="QMQ5" s="19"/>
      <c r="QMR5" s="19"/>
      <c r="QMS5" s="19"/>
      <c r="QMT5" s="19"/>
      <c r="QMU5" s="19"/>
      <c r="QMV5" s="19"/>
      <c r="QMW5" s="19"/>
      <c r="QMX5" s="19"/>
      <c r="QMY5" s="19"/>
      <c r="QMZ5" s="19"/>
      <c r="QNA5" s="19"/>
      <c r="QNB5" s="19"/>
      <c r="QNC5" s="19"/>
      <c r="QND5" s="19"/>
      <c r="QNE5" s="19"/>
      <c r="QNF5" s="19"/>
      <c r="QNG5" s="19"/>
      <c r="QNH5" s="19"/>
      <c r="QNI5" s="19"/>
      <c r="QNJ5" s="19"/>
      <c r="QNK5" s="19"/>
      <c r="QNL5" s="19"/>
      <c r="QNM5" s="19"/>
      <c r="QNN5" s="19"/>
      <c r="QNO5" s="19"/>
      <c r="QNP5" s="19"/>
      <c r="QNQ5" s="19"/>
      <c r="QNR5" s="19"/>
      <c r="QNS5" s="19"/>
      <c r="QNT5" s="19"/>
      <c r="QNU5" s="19"/>
      <c r="QNV5" s="19"/>
      <c r="QNW5" s="19"/>
      <c r="QNX5" s="19"/>
      <c r="QNY5" s="19"/>
      <c r="QNZ5" s="19"/>
      <c r="QOA5" s="19"/>
      <c r="QOB5" s="19"/>
      <c r="QOC5" s="19"/>
      <c r="QOD5" s="19"/>
      <c r="QOE5" s="19"/>
      <c r="QOF5" s="19"/>
      <c r="QOG5" s="19"/>
      <c r="QOH5" s="19"/>
      <c r="QOI5" s="19"/>
      <c r="QOJ5" s="19"/>
      <c r="QOK5" s="19"/>
      <c r="QOL5" s="19"/>
      <c r="QOM5" s="19"/>
      <c r="QON5" s="19"/>
      <c r="QOO5" s="19"/>
      <c r="QOP5" s="19"/>
      <c r="QOQ5" s="19"/>
      <c r="QOR5" s="19"/>
      <c r="QOS5" s="19"/>
      <c r="QOT5" s="19"/>
      <c r="QOU5" s="19"/>
      <c r="QOV5" s="19"/>
      <c r="QOW5" s="19"/>
      <c r="QOX5" s="19"/>
      <c r="QOY5" s="19"/>
      <c r="QOZ5" s="19"/>
      <c r="QPA5" s="19"/>
      <c r="QPB5" s="19"/>
      <c r="QPC5" s="19"/>
      <c r="QPD5" s="19"/>
      <c r="QPE5" s="19"/>
      <c r="QPF5" s="19"/>
      <c r="QPG5" s="19"/>
      <c r="QPH5" s="19"/>
      <c r="QPI5" s="19"/>
      <c r="QPJ5" s="19"/>
      <c r="QPK5" s="19"/>
      <c r="QPL5" s="19"/>
      <c r="QPM5" s="19"/>
      <c r="QPN5" s="19"/>
      <c r="QPO5" s="19"/>
      <c r="QPP5" s="19"/>
      <c r="QPQ5" s="19"/>
      <c r="QPR5" s="19"/>
      <c r="QPS5" s="19"/>
      <c r="QPT5" s="19"/>
      <c r="QPU5" s="19"/>
      <c r="QPV5" s="19"/>
      <c r="QPW5" s="19"/>
      <c r="QPX5" s="19"/>
      <c r="QPY5" s="19"/>
      <c r="QPZ5" s="19"/>
      <c r="QQA5" s="19"/>
      <c r="QQB5" s="19"/>
      <c r="QQC5" s="19"/>
      <c r="QQD5" s="19"/>
      <c r="QQE5" s="19"/>
      <c r="QQF5" s="19"/>
      <c r="QQG5" s="19"/>
      <c r="QQH5" s="19"/>
      <c r="QQI5" s="19"/>
      <c r="QQJ5" s="19"/>
      <c r="QQK5" s="19"/>
      <c r="QQL5" s="19"/>
      <c r="QQM5" s="19"/>
      <c r="QQN5" s="19"/>
      <c r="QQO5" s="19"/>
      <c r="QQP5" s="19"/>
      <c r="QQQ5" s="19"/>
      <c r="QQR5" s="19"/>
      <c r="QQS5" s="19"/>
      <c r="QQT5" s="19"/>
      <c r="QQU5" s="19"/>
      <c r="QQV5" s="19"/>
      <c r="QQW5" s="19"/>
      <c r="QQX5" s="19"/>
      <c r="QQY5" s="19"/>
      <c r="QQZ5" s="19"/>
      <c r="QRA5" s="19"/>
      <c r="QRB5" s="19"/>
      <c r="QRC5" s="19"/>
      <c r="QRD5" s="19"/>
      <c r="QRE5" s="19"/>
      <c r="QRF5" s="19"/>
      <c r="QRG5" s="19"/>
      <c r="QRH5" s="19"/>
      <c r="QRI5" s="19"/>
      <c r="QRJ5" s="19"/>
      <c r="QRK5" s="19"/>
      <c r="QRL5" s="19"/>
      <c r="QRM5" s="19"/>
      <c r="QRN5" s="19"/>
      <c r="QRO5" s="19"/>
      <c r="QRP5" s="19"/>
      <c r="QRQ5" s="19"/>
      <c r="QRR5" s="19"/>
      <c r="QRS5" s="19"/>
      <c r="QRT5" s="19"/>
      <c r="QRU5" s="19"/>
      <c r="QRV5" s="19"/>
      <c r="QRW5" s="19"/>
      <c r="QRX5" s="19"/>
      <c r="QRY5" s="19"/>
      <c r="QRZ5" s="19"/>
      <c r="QSA5" s="19"/>
      <c r="QSB5" s="19"/>
      <c r="QSC5" s="19"/>
      <c r="QSD5" s="19"/>
      <c r="QSE5" s="19"/>
      <c r="QSF5" s="19"/>
      <c r="QSG5" s="19"/>
      <c r="QSH5" s="19"/>
      <c r="QSI5" s="19"/>
      <c r="QSJ5" s="19"/>
      <c r="QSK5" s="19"/>
      <c r="QSL5" s="19"/>
      <c r="QSM5" s="19"/>
      <c r="QSN5" s="19"/>
      <c r="QSO5" s="19"/>
      <c r="QSP5" s="19"/>
      <c r="QSQ5" s="19"/>
      <c r="QSR5" s="19"/>
      <c r="QSS5" s="19"/>
      <c r="QST5" s="19"/>
      <c r="QSU5" s="19"/>
      <c r="QSV5" s="19"/>
      <c r="QSW5" s="19"/>
      <c r="QSX5" s="19"/>
      <c r="QSY5" s="19"/>
      <c r="QSZ5" s="19"/>
      <c r="QTA5" s="19"/>
      <c r="QTB5" s="19"/>
      <c r="QTC5" s="19"/>
      <c r="QTD5" s="19"/>
      <c r="QTE5" s="19"/>
      <c r="QTF5" s="19"/>
      <c r="QTG5" s="19"/>
      <c r="QTH5" s="19"/>
      <c r="QTI5" s="19"/>
      <c r="QTJ5" s="19"/>
      <c r="QTK5" s="19"/>
      <c r="QTL5" s="19"/>
      <c r="QTM5" s="19"/>
      <c r="QTN5" s="19"/>
      <c r="QTO5" s="19"/>
      <c r="QTP5" s="19"/>
      <c r="QTQ5" s="19"/>
      <c r="QTR5" s="19"/>
      <c r="QTS5" s="19"/>
      <c r="QTT5" s="19"/>
      <c r="QTU5" s="19"/>
      <c r="QTV5" s="19"/>
      <c r="QTW5" s="19"/>
      <c r="QTX5" s="19"/>
      <c r="QTY5" s="19"/>
      <c r="QTZ5" s="19"/>
      <c r="QUA5" s="19"/>
      <c r="QUB5" s="19"/>
      <c r="QUC5" s="19"/>
      <c r="QUD5" s="19"/>
      <c r="QUE5" s="19"/>
      <c r="QUF5" s="19"/>
      <c r="QUG5" s="19"/>
      <c r="QUH5" s="19"/>
      <c r="QUI5" s="19"/>
      <c r="QUJ5" s="19"/>
      <c r="QUK5" s="19"/>
      <c r="QUL5" s="19"/>
      <c r="QUM5" s="19"/>
      <c r="QUN5" s="19"/>
      <c r="QUO5" s="19"/>
      <c r="QUP5" s="19"/>
      <c r="QUQ5" s="19"/>
      <c r="QUR5" s="19"/>
      <c r="QUS5" s="19"/>
      <c r="QUT5" s="19"/>
      <c r="QUU5" s="19"/>
      <c r="QUV5" s="19"/>
      <c r="QUW5" s="19"/>
      <c r="QUX5" s="19"/>
      <c r="QUY5" s="19"/>
      <c r="QUZ5" s="19"/>
      <c r="QVA5" s="19"/>
      <c r="QVB5" s="19"/>
      <c r="QVC5" s="19"/>
      <c r="QVD5" s="19"/>
      <c r="QVE5" s="19"/>
      <c r="QVF5" s="19"/>
      <c r="QVG5" s="19"/>
      <c r="QVH5" s="19"/>
      <c r="QVI5" s="19"/>
      <c r="QVJ5" s="19"/>
      <c r="QVK5" s="19"/>
      <c r="QVL5" s="19"/>
      <c r="QVM5" s="19"/>
      <c r="QVN5" s="19"/>
      <c r="QVO5" s="19"/>
      <c r="QVP5" s="19"/>
      <c r="QVQ5" s="19"/>
      <c r="QVR5" s="19"/>
      <c r="QVS5" s="19"/>
      <c r="QVT5" s="19"/>
      <c r="QVU5" s="19"/>
      <c r="QVV5" s="19"/>
      <c r="QVW5" s="19"/>
      <c r="QVX5" s="19"/>
      <c r="QVY5" s="19"/>
      <c r="QVZ5" s="19"/>
      <c r="QWA5" s="19"/>
      <c r="QWB5" s="19"/>
      <c r="QWC5" s="19"/>
      <c r="QWD5" s="19"/>
      <c r="QWE5" s="19"/>
      <c r="QWF5" s="19"/>
      <c r="QWG5" s="19"/>
      <c r="QWH5" s="19"/>
      <c r="QWI5" s="19"/>
      <c r="QWJ5" s="19"/>
      <c r="QWK5" s="19"/>
      <c r="QWL5" s="19"/>
      <c r="QWM5" s="19"/>
      <c r="QWN5" s="19"/>
      <c r="QWO5" s="19"/>
      <c r="QWP5" s="19"/>
      <c r="QWQ5" s="19"/>
      <c r="QWR5" s="19"/>
      <c r="QWS5" s="19"/>
      <c r="QWT5" s="19"/>
      <c r="QWU5" s="19"/>
      <c r="QWV5" s="19"/>
      <c r="QWW5" s="19"/>
      <c r="QWX5" s="19"/>
      <c r="QWY5" s="19"/>
      <c r="QWZ5" s="19"/>
      <c r="QXA5" s="19"/>
      <c r="QXB5" s="19"/>
      <c r="QXC5" s="19"/>
      <c r="QXD5" s="19"/>
      <c r="QXE5" s="19"/>
      <c r="QXF5" s="19"/>
      <c r="QXG5" s="19"/>
      <c r="QXH5" s="19"/>
      <c r="QXI5" s="19"/>
      <c r="QXJ5" s="19"/>
      <c r="QXK5" s="19"/>
      <c r="QXL5" s="19"/>
      <c r="QXM5" s="19"/>
      <c r="QXN5" s="19"/>
      <c r="QXO5" s="19"/>
      <c r="QXP5" s="19"/>
      <c r="QXQ5" s="19"/>
      <c r="QXR5" s="19"/>
      <c r="QXS5" s="19"/>
      <c r="QXT5" s="19"/>
      <c r="QXU5" s="19"/>
      <c r="QXV5" s="19"/>
      <c r="QXW5" s="19"/>
      <c r="QXX5" s="19"/>
      <c r="QXY5" s="19"/>
      <c r="QXZ5" s="19"/>
      <c r="QYA5" s="19"/>
      <c r="QYB5" s="19"/>
      <c r="QYC5" s="19"/>
      <c r="QYD5" s="19"/>
      <c r="QYE5" s="19"/>
      <c r="QYF5" s="19"/>
      <c r="QYG5" s="19"/>
      <c r="QYH5" s="19"/>
      <c r="QYI5" s="19"/>
      <c r="QYJ5" s="19"/>
      <c r="QYK5" s="19"/>
      <c r="QYL5" s="19"/>
      <c r="QYM5" s="19"/>
      <c r="QYN5" s="19"/>
      <c r="QYO5" s="19"/>
      <c r="QYP5" s="19"/>
      <c r="QYQ5" s="19"/>
      <c r="QYR5" s="19"/>
      <c r="QYS5" s="19"/>
      <c r="QYT5" s="19"/>
      <c r="QYU5" s="19"/>
      <c r="QYV5" s="19"/>
      <c r="QYW5" s="19"/>
      <c r="QYX5" s="19"/>
      <c r="QYY5" s="19"/>
      <c r="QYZ5" s="19"/>
      <c r="QZA5" s="19"/>
      <c r="QZB5" s="19"/>
      <c r="QZC5" s="19"/>
      <c r="QZD5" s="19"/>
      <c r="QZE5" s="19"/>
      <c r="QZF5" s="19"/>
      <c r="QZG5" s="19"/>
      <c r="QZH5" s="19"/>
      <c r="QZI5" s="19"/>
      <c r="QZJ5" s="19"/>
      <c r="QZK5" s="19"/>
      <c r="QZL5" s="19"/>
      <c r="QZM5" s="19"/>
      <c r="QZN5" s="19"/>
      <c r="QZO5" s="19"/>
      <c r="QZP5" s="19"/>
      <c r="QZQ5" s="19"/>
      <c r="QZR5" s="19"/>
      <c r="QZS5" s="19"/>
      <c r="QZT5" s="19"/>
      <c r="QZU5" s="19"/>
      <c r="QZV5" s="19"/>
      <c r="QZW5" s="19"/>
      <c r="QZX5" s="19"/>
      <c r="QZY5" s="19"/>
      <c r="QZZ5" s="19"/>
      <c r="RAA5" s="19"/>
      <c r="RAB5" s="19"/>
      <c r="RAC5" s="19"/>
      <c r="RAD5" s="19"/>
      <c r="RAE5" s="19"/>
      <c r="RAF5" s="19"/>
      <c r="RAG5" s="19"/>
      <c r="RAH5" s="19"/>
      <c r="RAI5" s="19"/>
      <c r="RAJ5" s="19"/>
      <c r="RAK5" s="19"/>
      <c r="RAL5" s="19"/>
      <c r="RAM5" s="19"/>
      <c r="RAN5" s="19"/>
      <c r="RAO5" s="19"/>
      <c r="RAP5" s="19"/>
      <c r="RAQ5" s="19"/>
      <c r="RAR5" s="19"/>
      <c r="RAS5" s="19"/>
      <c r="RAT5" s="19"/>
      <c r="RAU5" s="19"/>
      <c r="RAV5" s="19"/>
      <c r="RAW5" s="19"/>
      <c r="RAX5" s="19"/>
      <c r="RAY5" s="19"/>
      <c r="RAZ5" s="19"/>
      <c r="RBA5" s="19"/>
      <c r="RBB5" s="19"/>
      <c r="RBC5" s="19"/>
      <c r="RBD5" s="19"/>
      <c r="RBE5" s="19"/>
      <c r="RBF5" s="19"/>
      <c r="RBG5" s="19"/>
      <c r="RBH5" s="19"/>
      <c r="RBI5" s="19"/>
      <c r="RBJ5" s="19"/>
      <c r="RBK5" s="19"/>
      <c r="RBL5" s="19"/>
      <c r="RBM5" s="19"/>
      <c r="RBN5" s="19"/>
      <c r="RBO5" s="19"/>
      <c r="RBP5" s="19"/>
      <c r="RBQ5" s="19"/>
      <c r="RBR5" s="19"/>
      <c r="RBS5" s="19"/>
      <c r="RBT5" s="19"/>
      <c r="RBU5" s="19"/>
      <c r="RBV5" s="19"/>
      <c r="RBW5" s="19"/>
      <c r="RBX5" s="19"/>
      <c r="RBY5" s="19"/>
      <c r="RBZ5" s="19"/>
      <c r="RCA5" s="19"/>
      <c r="RCB5" s="19"/>
      <c r="RCC5" s="19"/>
      <c r="RCD5" s="19"/>
      <c r="RCE5" s="19"/>
      <c r="RCF5" s="19"/>
      <c r="RCG5" s="19"/>
      <c r="RCH5" s="19"/>
      <c r="RCI5" s="19"/>
      <c r="RCJ5" s="19"/>
      <c r="RCK5" s="19"/>
      <c r="RCL5" s="19"/>
      <c r="RCM5" s="19"/>
      <c r="RCN5" s="19"/>
      <c r="RCO5" s="19"/>
      <c r="RCP5" s="19"/>
      <c r="RCQ5" s="19"/>
      <c r="RCR5" s="19"/>
      <c r="RCS5" s="19"/>
      <c r="RCT5" s="19"/>
      <c r="RCU5" s="19"/>
      <c r="RCV5" s="19"/>
      <c r="RCW5" s="19"/>
      <c r="RCX5" s="19"/>
      <c r="RCY5" s="19"/>
      <c r="RCZ5" s="19"/>
      <c r="RDA5" s="19"/>
      <c r="RDB5" s="19"/>
      <c r="RDC5" s="19"/>
      <c r="RDD5" s="19"/>
      <c r="RDE5" s="19"/>
      <c r="RDF5" s="19"/>
      <c r="RDG5" s="19"/>
      <c r="RDH5" s="19"/>
      <c r="RDI5" s="19"/>
      <c r="RDJ5" s="19"/>
      <c r="RDK5" s="19"/>
      <c r="RDL5" s="19"/>
      <c r="RDM5" s="19"/>
      <c r="RDN5" s="19"/>
      <c r="RDO5" s="19"/>
      <c r="RDP5" s="19"/>
      <c r="RDQ5" s="19"/>
      <c r="RDR5" s="19"/>
      <c r="RDS5" s="19"/>
      <c r="RDT5" s="19"/>
      <c r="RDU5" s="19"/>
      <c r="RDV5" s="19"/>
      <c r="RDW5" s="19"/>
      <c r="RDX5" s="19"/>
      <c r="RDY5" s="19"/>
      <c r="RDZ5" s="19"/>
      <c r="REA5" s="19"/>
      <c r="REB5" s="19"/>
      <c r="REC5" s="19"/>
      <c r="RED5" s="19"/>
      <c r="REE5" s="19"/>
      <c r="REF5" s="19"/>
      <c r="REG5" s="19"/>
      <c r="REH5" s="19"/>
      <c r="REI5" s="19"/>
      <c r="REJ5" s="19"/>
      <c r="REK5" s="19"/>
      <c r="REL5" s="19"/>
      <c r="REM5" s="19"/>
      <c r="REN5" s="19"/>
      <c r="REO5" s="19"/>
      <c r="REP5" s="19"/>
      <c r="REQ5" s="19"/>
      <c r="RER5" s="19"/>
      <c r="RES5" s="19"/>
      <c r="RET5" s="19"/>
      <c r="REU5" s="19"/>
      <c r="REV5" s="19"/>
      <c r="REW5" s="19"/>
      <c r="REX5" s="19"/>
      <c r="REY5" s="19"/>
      <c r="REZ5" s="19"/>
      <c r="RFA5" s="19"/>
      <c r="RFB5" s="19"/>
      <c r="RFC5" s="19"/>
      <c r="RFD5" s="19"/>
      <c r="RFE5" s="19"/>
      <c r="RFF5" s="19"/>
      <c r="RFG5" s="19"/>
      <c r="RFH5" s="19"/>
      <c r="RFI5" s="19"/>
      <c r="RFJ5" s="19"/>
      <c r="RFK5" s="19"/>
      <c r="RFL5" s="19"/>
      <c r="RFM5" s="19"/>
      <c r="RFN5" s="19"/>
      <c r="RFO5" s="19"/>
      <c r="RFP5" s="19"/>
      <c r="RFQ5" s="19"/>
      <c r="RFR5" s="19"/>
      <c r="RFS5" s="19"/>
      <c r="RFT5" s="19"/>
      <c r="RFU5" s="19"/>
      <c r="RFV5" s="19"/>
      <c r="RFW5" s="19"/>
      <c r="RFX5" s="19"/>
      <c r="RFY5" s="19"/>
      <c r="RFZ5" s="19"/>
      <c r="RGA5" s="19"/>
      <c r="RGB5" s="19"/>
      <c r="RGC5" s="19"/>
      <c r="RGD5" s="19"/>
      <c r="RGE5" s="19"/>
      <c r="RGF5" s="19"/>
      <c r="RGG5" s="19"/>
      <c r="RGH5" s="19"/>
      <c r="RGI5" s="19"/>
      <c r="RGJ5" s="19"/>
      <c r="RGK5" s="19"/>
      <c r="RGL5" s="19"/>
      <c r="RGM5" s="19"/>
      <c r="RGN5" s="19"/>
      <c r="RGO5" s="19"/>
      <c r="RGP5" s="19"/>
      <c r="RGQ5" s="19"/>
      <c r="RGR5" s="19"/>
      <c r="RGS5" s="19"/>
      <c r="RGT5" s="19"/>
      <c r="RGU5" s="19"/>
      <c r="RGV5" s="19"/>
      <c r="RGW5" s="19"/>
      <c r="RGX5" s="19"/>
      <c r="RGY5" s="19"/>
      <c r="RGZ5" s="19"/>
      <c r="RHA5" s="19"/>
      <c r="RHB5" s="19"/>
      <c r="RHC5" s="19"/>
      <c r="RHD5" s="19"/>
      <c r="RHE5" s="19"/>
      <c r="RHF5" s="19"/>
      <c r="RHG5" s="19"/>
      <c r="RHH5" s="19"/>
      <c r="RHI5" s="19"/>
      <c r="RHJ5" s="19"/>
      <c r="RHK5" s="19"/>
      <c r="RHL5" s="19"/>
      <c r="RHM5" s="19"/>
      <c r="RHN5" s="19"/>
      <c r="RHO5" s="19"/>
      <c r="RHP5" s="19"/>
      <c r="RHQ5" s="19"/>
      <c r="RHR5" s="19"/>
      <c r="RHS5" s="19"/>
      <c r="RHT5" s="19"/>
      <c r="RHU5" s="19"/>
      <c r="RHV5" s="19"/>
      <c r="RHW5" s="19"/>
      <c r="RHX5" s="19"/>
      <c r="RHY5" s="19"/>
      <c r="RHZ5" s="19"/>
      <c r="RIA5" s="19"/>
      <c r="RIB5" s="19"/>
      <c r="RIC5" s="19"/>
      <c r="RID5" s="19"/>
      <c r="RIE5" s="19"/>
      <c r="RIF5" s="19"/>
      <c r="RIG5" s="19"/>
      <c r="RIH5" s="19"/>
      <c r="RII5" s="19"/>
      <c r="RIJ5" s="19"/>
      <c r="RIK5" s="19"/>
      <c r="RIL5" s="19"/>
      <c r="RIM5" s="19"/>
      <c r="RIN5" s="19"/>
      <c r="RIO5" s="19"/>
      <c r="RIP5" s="19"/>
      <c r="RIQ5" s="19"/>
      <c r="RIR5" s="19"/>
      <c r="RIS5" s="19"/>
      <c r="RIT5" s="19"/>
      <c r="RIU5" s="19"/>
      <c r="RIV5" s="19"/>
      <c r="RIW5" s="19"/>
      <c r="RIX5" s="19"/>
      <c r="RIY5" s="19"/>
      <c r="RIZ5" s="19"/>
      <c r="RJA5" s="19"/>
      <c r="RJB5" s="19"/>
      <c r="RJC5" s="19"/>
      <c r="RJD5" s="19"/>
      <c r="RJE5" s="19"/>
      <c r="RJF5" s="19"/>
      <c r="RJG5" s="19"/>
      <c r="RJH5" s="19"/>
      <c r="RJI5" s="19"/>
      <c r="RJJ5" s="19"/>
      <c r="RJK5" s="19"/>
      <c r="RJL5" s="19"/>
      <c r="RJM5" s="19"/>
      <c r="RJN5" s="19"/>
      <c r="RJO5" s="19"/>
      <c r="RJP5" s="19"/>
      <c r="RJQ5" s="19"/>
      <c r="RJR5" s="19"/>
      <c r="RJS5" s="19"/>
      <c r="RJT5" s="19"/>
      <c r="RJU5" s="19"/>
      <c r="RJV5" s="19"/>
      <c r="RJW5" s="19"/>
      <c r="RJX5" s="19"/>
      <c r="RJY5" s="19"/>
      <c r="RJZ5" s="19"/>
      <c r="RKA5" s="19"/>
      <c r="RKB5" s="19"/>
      <c r="RKC5" s="19"/>
      <c r="RKD5" s="19"/>
      <c r="RKE5" s="19"/>
      <c r="RKF5" s="19"/>
      <c r="RKG5" s="19"/>
      <c r="RKH5" s="19"/>
      <c r="RKI5" s="19"/>
      <c r="RKJ5" s="19"/>
      <c r="RKK5" s="19"/>
      <c r="RKL5" s="19"/>
      <c r="RKM5" s="19"/>
      <c r="RKN5" s="19"/>
      <c r="RKO5" s="19"/>
      <c r="RKP5" s="19"/>
      <c r="RKQ5" s="19"/>
      <c r="RKR5" s="19"/>
      <c r="RKS5" s="19"/>
      <c r="RKT5" s="19"/>
      <c r="RKU5" s="19"/>
      <c r="RKV5" s="19"/>
      <c r="RKW5" s="19"/>
      <c r="RKX5" s="19"/>
      <c r="RKY5" s="19"/>
      <c r="RKZ5" s="19"/>
      <c r="RLA5" s="19"/>
      <c r="RLB5" s="19"/>
      <c r="RLC5" s="19"/>
      <c r="RLD5" s="19"/>
      <c r="RLE5" s="19"/>
      <c r="RLF5" s="19"/>
      <c r="RLG5" s="19"/>
      <c r="RLH5" s="19"/>
      <c r="RLI5" s="19"/>
      <c r="RLJ5" s="19"/>
      <c r="RLK5" s="19"/>
      <c r="RLL5" s="19"/>
      <c r="RLM5" s="19"/>
      <c r="RLN5" s="19"/>
      <c r="RLO5" s="19"/>
      <c r="RLP5" s="19"/>
      <c r="RLQ5" s="19"/>
      <c r="RLR5" s="19"/>
      <c r="RLS5" s="19"/>
      <c r="RLT5" s="19"/>
      <c r="RLU5" s="19"/>
      <c r="RLV5" s="19"/>
      <c r="RLW5" s="19"/>
      <c r="RLX5" s="19"/>
      <c r="RLY5" s="19"/>
      <c r="RLZ5" s="19"/>
      <c r="RMA5" s="19"/>
      <c r="RMB5" s="19"/>
      <c r="RMC5" s="19"/>
      <c r="RMD5" s="19"/>
      <c r="RME5" s="19"/>
      <c r="RMF5" s="19"/>
      <c r="RMG5" s="19"/>
      <c r="RMH5" s="19"/>
      <c r="RMI5" s="19"/>
      <c r="RMJ5" s="19"/>
      <c r="RMK5" s="19"/>
      <c r="RML5" s="19"/>
      <c r="RMM5" s="19"/>
      <c r="RMN5" s="19"/>
      <c r="RMO5" s="19"/>
      <c r="RMP5" s="19"/>
      <c r="RMQ5" s="19"/>
      <c r="RMR5" s="19"/>
      <c r="RMS5" s="19"/>
      <c r="RMT5" s="19"/>
      <c r="RMU5" s="19"/>
      <c r="RMV5" s="19"/>
      <c r="RMW5" s="19"/>
      <c r="RMX5" s="19"/>
      <c r="RMY5" s="19"/>
      <c r="RMZ5" s="19"/>
      <c r="RNA5" s="19"/>
      <c r="RNB5" s="19"/>
      <c r="RNC5" s="19"/>
      <c r="RND5" s="19"/>
      <c r="RNE5" s="19"/>
      <c r="RNF5" s="19"/>
      <c r="RNG5" s="19"/>
      <c r="RNH5" s="19"/>
      <c r="RNI5" s="19"/>
      <c r="RNJ5" s="19"/>
      <c r="RNK5" s="19"/>
      <c r="RNL5" s="19"/>
      <c r="RNM5" s="19"/>
      <c r="RNN5" s="19"/>
      <c r="RNO5" s="19"/>
      <c r="RNP5" s="19"/>
      <c r="RNQ5" s="19"/>
      <c r="RNR5" s="19"/>
      <c r="RNS5" s="19"/>
      <c r="RNT5" s="19"/>
      <c r="RNU5" s="19"/>
      <c r="RNV5" s="19"/>
      <c r="RNW5" s="19"/>
      <c r="RNX5" s="19"/>
      <c r="RNY5" s="19"/>
      <c r="RNZ5" s="19"/>
      <c r="ROA5" s="19"/>
      <c r="ROB5" s="19"/>
      <c r="ROC5" s="19"/>
      <c r="ROD5" s="19"/>
      <c r="ROE5" s="19"/>
      <c r="ROF5" s="19"/>
      <c r="ROG5" s="19"/>
      <c r="ROH5" s="19"/>
      <c r="ROI5" s="19"/>
      <c r="ROJ5" s="19"/>
      <c r="ROK5" s="19"/>
      <c r="ROL5" s="19"/>
      <c r="ROM5" s="19"/>
      <c r="RON5" s="19"/>
      <c r="ROO5" s="19"/>
      <c r="ROP5" s="19"/>
      <c r="ROQ5" s="19"/>
      <c r="ROR5" s="19"/>
      <c r="ROS5" s="19"/>
      <c r="ROT5" s="19"/>
      <c r="ROU5" s="19"/>
      <c r="ROV5" s="19"/>
      <c r="ROW5" s="19"/>
      <c r="ROX5" s="19"/>
      <c r="ROY5" s="19"/>
      <c r="ROZ5" s="19"/>
      <c r="RPA5" s="19"/>
      <c r="RPB5" s="19"/>
      <c r="RPC5" s="19"/>
      <c r="RPD5" s="19"/>
      <c r="RPE5" s="19"/>
      <c r="RPF5" s="19"/>
      <c r="RPG5" s="19"/>
      <c r="RPH5" s="19"/>
      <c r="RPI5" s="19"/>
      <c r="RPJ5" s="19"/>
      <c r="RPK5" s="19"/>
      <c r="RPL5" s="19"/>
      <c r="RPM5" s="19"/>
      <c r="RPN5" s="19"/>
      <c r="RPO5" s="19"/>
      <c r="RPP5" s="19"/>
      <c r="RPQ5" s="19"/>
      <c r="RPR5" s="19"/>
      <c r="RPS5" s="19"/>
      <c r="RPT5" s="19"/>
      <c r="RPU5" s="19"/>
      <c r="RPV5" s="19"/>
      <c r="RPW5" s="19"/>
      <c r="RPX5" s="19"/>
      <c r="RPY5" s="19"/>
      <c r="RPZ5" s="19"/>
      <c r="RQA5" s="19"/>
      <c r="RQB5" s="19"/>
      <c r="RQC5" s="19"/>
      <c r="RQD5" s="19"/>
      <c r="RQE5" s="19"/>
      <c r="RQF5" s="19"/>
      <c r="RQG5" s="19"/>
      <c r="RQH5" s="19"/>
      <c r="RQI5" s="19"/>
      <c r="RQJ5" s="19"/>
      <c r="RQK5" s="19"/>
      <c r="RQL5" s="19"/>
      <c r="RQM5" s="19"/>
      <c r="RQN5" s="19"/>
      <c r="RQO5" s="19"/>
      <c r="RQP5" s="19"/>
      <c r="RQQ5" s="19"/>
      <c r="RQR5" s="19"/>
      <c r="RQS5" s="19"/>
      <c r="RQT5" s="19"/>
      <c r="RQU5" s="19"/>
      <c r="RQV5" s="19"/>
      <c r="RQW5" s="19"/>
      <c r="RQX5" s="19"/>
      <c r="RQY5" s="19"/>
      <c r="RQZ5" s="19"/>
      <c r="RRA5" s="19"/>
      <c r="RRB5" s="19"/>
      <c r="RRC5" s="19"/>
      <c r="RRD5" s="19"/>
      <c r="RRE5" s="19"/>
      <c r="RRF5" s="19"/>
      <c r="RRG5" s="19"/>
      <c r="RRH5" s="19"/>
      <c r="RRI5" s="19"/>
      <c r="RRJ5" s="19"/>
      <c r="RRK5" s="19"/>
      <c r="RRL5" s="19"/>
      <c r="RRM5" s="19"/>
      <c r="RRN5" s="19"/>
      <c r="RRO5" s="19"/>
      <c r="RRP5" s="19"/>
      <c r="RRQ5" s="19"/>
      <c r="RRR5" s="19"/>
      <c r="RRS5" s="19"/>
      <c r="RRT5" s="19"/>
      <c r="RRU5" s="19"/>
      <c r="RRV5" s="19"/>
      <c r="RRW5" s="19"/>
      <c r="RRX5" s="19"/>
      <c r="RRY5" s="19"/>
      <c r="RRZ5" s="19"/>
      <c r="RSA5" s="19"/>
      <c r="RSB5" s="19"/>
      <c r="RSC5" s="19"/>
      <c r="RSD5" s="19"/>
      <c r="RSE5" s="19"/>
      <c r="RSF5" s="19"/>
      <c r="RSG5" s="19"/>
      <c r="RSH5" s="19"/>
      <c r="RSI5" s="19"/>
      <c r="RSJ5" s="19"/>
      <c r="RSK5" s="19"/>
      <c r="RSL5" s="19"/>
      <c r="RSM5" s="19"/>
      <c r="RSN5" s="19"/>
      <c r="RSO5" s="19"/>
      <c r="RSP5" s="19"/>
      <c r="RSQ5" s="19"/>
      <c r="RSR5" s="19"/>
      <c r="RSS5" s="19"/>
      <c r="RST5" s="19"/>
      <c r="RSU5" s="19"/>
      <c r="RSV5" s="19"/>
      <c r="RSW5" s="19"/>
      <c r="RSX5" s="19"/>
      <c r="RSY5" s="19"/>
      <c r="RSZ5" s="19"/>
      <c r="RTA5" s="19"/>
      <c r="RTB5" s="19"/>
      <c r="RTC5" s="19"/>
      <c r="RTD5" s="19"/>
      <c r="RTE5" s="19"/>
      <c r="RTF5" s="19"/>
      <c r="RTG5" s="19"/>
      <c r="RTH5" s="19"/>
      <c r="RTI5" s="19"/>
      <c r="RTJ5" s="19"/>
      <c r="RTK5" s="19"/>
      <c r="RTL5" s="19"/>
      <c r="RTM5" s="19"/>
      <c r="RTN5" s="19"/>
      <c r="RTO5" s="19"/>
      <c r="RTP5" s="19"/>
      <c r="RTQ5" s="19"/>
      <c r="RTR5" s="19"/>
      <c r="RTS5" s="19"/>
      <c r="RTT5" s="19"/>
      <c r="RTU5" s="19"/>
      <c r="RTV5" s="19"/>
      <c r="RTW5" s="19"/>
      <c r="RTX5" s="19"/>
      <c r="RTY5" s="19"/>
      <c r="RTZ5" s="19"/>
      <c r="RUA5" s="19"/>
      <c r="RUB5" s="19"/>
      <c r="RUC5" s="19"/>
      <c r="RUD5" s="19"/>
      <c r="RUE5" s="19"/>
      <c r="RUF5" s="19"/>
      <c r="RUG5" s="19"/>
      <c r="RUH5" s="19"/>
      <c r="RUI5" s="19"/>
      <c r="RUJ5" s="19"/>
      <c r="RUK5" s="19"/>
      <c r="RUL5" s="19"/>
      <c r="RUM5" s="19"/>
      <c r="RUN5" s="19"/>
      <c r="RUO5" s="19"/>
      <c r="RUP5" s="19"/>
      <c r="RUQ5" s="19"/>
      <c r="RUR5" s="19"/>
      <c r="RUS5" s="19"/>
      <c r="RUT5" s="19"/>
      <c r="RUU5" s="19"/>
      <c r="RUV5" s="19"/>
      <c r="RUW5" s="19"/>
      <c r="RUX5" s="19"/>
      <c r="RUY5" s="19"/>
      <c r="RUZ5" s="19"/>
      <c r="RVA5" s="19"/>
      <c r="RVB5" s="19"/>
      <c r="RVC5" s="19"/>
      <c r="RVD5" s="19"/>
      <c r="RVE5" s="19"/>
      <c r="RVF5" s="19"/>
      <c r="RVG5" s="19"/>
      <c r="RVH5" s="19"/>
      <c r="RVI5" s="19"/>
      <c r="RVJ5" s="19"/>
      <c r="RVK5" s="19"/>
      <c r="RVL5" s="19"/>
      <c r="RVM5" s="19"/>
      <c r="RVN5" s="19"/>
      <c r="RVO5" s="19"/>
      <c r="RVP5" s="19"/>
      <c r="RVQ5" s="19"/>
      <c r="RVR5" s="19"/>
      <c r="RVS5" s="19"/>
      <c r="RVT5" s="19"/>
      <c r="RVU5" s="19"/>
      <c r="RVV5" s="19"/>
      <c r="RVW5" s="19"/>
      <c r="RVX5" s="19"/>
      <c r="RVY5" s="19"/>
      <c r="RVZ5" s="19"/>
      <c r="RWA5" s="19"/>
      <c r="RWB5" s="19"/>
      <c r="RWC5" s="19"/>
      <c r="RWD5" s="19"/>
      <c r="RWE5" s="19"/>
      <c r="RWF5" s="19"/>
      <c r="RWG5" s="19"/>
      <c r="RWH5" s="19"/>
      <c r="RWI5" s="19"/>
      <c r="RWJ5" s="19"/>
      <c r="RWK5" s="19"/>
      <c r="RWL5" s="19"/>
      <c r="RWM5" s="19"/>
      <c r="RWN5" s="19"/>
      <c r="RWO5" s="19"/>
      <c r="RWP5" s="19"/>
      <c r="RWQ5" s="19"/>
      <c r="RWR5" s="19"/>
      <c r="RWS5" s="19"/>
      <c r="RWT5" s="19"/>
      <c r="RWU5" s="19"/>
      <c r="RWV5" s="19"/>
      <c r="RWW5" s="19"/>
      <c r="RWX5" s="19"/>
      <c r="RWY5" s="19"/>
      <c r="RWZ5" s="19"/>
      <c r="RXA5" s="19"/>
      <c r="RXB5" s="19"/>
      <c r="RXC5" s="19"/>
      <c r="RXD5" s="19"/>
      <c r="RXE5" s="19"/>
      <c r="RXF5" s="19"/>
      <c r="RXG5" s="19"/>
      <c r="RXH5" s="19"/>
      <c r="RXI5" s="19"/>
      <c r="RXJ5" s="19"/>
      <c r="RXK5" s="19"/>
      <c r="RXL5" s="19"/>
      <c r="RXM5" s="19"/>
      <c r="RXN5" s="19"/>
      <c r="RXO5" s="19"/>
      <c r="RXP5" s="19"/>
      <c r="RXQ5" s="19"/>
      <c r="RXR5" s="19"/>
      <c r="RXS5" s="19"/>
      <c r="RXT5" s="19"/>
      <c r="RXU5" s="19"/>
      <c r="RXV5" s="19"/>
      <c r="RXW5" s="19"/>
      <c r="RXX5" s="19"/>
      <c r="RXY5" s="19"/>
      <c r="RXZ5" s="19"/>
      <c r="RYA5" s="19"/>
      <c r="RYB5" s="19"/>
      <c r="RYC5" s="19"/>
      <c r="RYD5" s="19"/>
      <c r="RYE5" s="19"/>
      <c r="RYF5" s="19"/>
      <c r="RYG5" s="19"/>
      <c r="RYH5" s="19"/>
      <c r="RYI5" s="19"/>
      <c r="RYJ5" s="19"/>
      <c r="RYK5" s="19"/>
      <c r="RYL5" s="19"/>
      <c r="RYM5" s="19"/>
      <c r="RYN5" s="19"/>
      <c r="RYO5" s="19"/>
      <c r="RYP5" s="19"/>
      <c r="RYQ5" s="19"/>
      <c r="RYR5" s="19"/>
      <c r="RYS5" s="19"/>
      <c r="RYT5" s="19"/>
      <c r="RYU5" s="19"/>
      <c r="RYV5" s="19"/>
      <c r="RYW5" s="19"/>
      <c r="RYX5" s="19"/>
      <c r="RYY5" s="19"/>
      <c r="RYZ5" s="19"/>
      <c r="RZA5" s="19"/>
      <c r="RZB5" s="19"/>
      <c r="RZC5" s="19"/>
      <c r="RZD5" s="19"/>
      <c r="RZE5" s="19"/>
      <c r="RZF5" s="19"/>
      <c r="RZG5" s="19"/>
      <c r="RZH5" s="19"/>
      <c r="RZI5" s="19"/>
      <c r="RZJ5" s="19"/>
      <c r="RZK5" s="19"/>
      <c r="RZL5" s="19"/>
      <c r="RZM5" s="19"/>
      <c r="RZN5" s="19"/>
      <c r="RZO5" s="19"/>
      <c r="RZP5" s="19"/>
      <c r="RZQ5" s="19"/>
      <c r="RZR5" s="19"/>
      <c r="RZS5" s="19"/>
      <c r="RZT5" s="19"/>
      <c r="RZU5" s="19"/>
      <c r="RZV5" s="19"/>
      <c r="RZW5" s="19"/>
      <c r="RZX5" s="19"/>
      <c r="RZY5" s="19"/>
      <c r="RZZ5" s="19"/>
      <c r="SAA5" s="19"/>
      <c r="SAB5" s="19"/>
      <c r="SAC5" s="19"/>
      <c r="SAD5" s="19"/>
      <c r="SAE5" s="19"/>
      <c r="SAF5" s="19"/>
      <c r="SAG5" s="19"/>
      <c r="SAH5" s="19"/>
      <c r="SAI5" s="19"/>
      <c r="SAJ5" s="19"/>
      <c r="SAK5" s="19"/>
      <c r="SAL5" s="19"/>
      <c r="SAM5" s="19"/>
      <c r="SAN5" s="19"/>
      <c r="SAO5" s="19"/>
      <c r="SAP5" s="19"/>
      <c r="SAQ5" s="19"/>
      <c r="SAR5" s="19"/>
      <c r="SAS5" s="19"/>
      <c r="SAT5" s="19"/>
      <c r="SAU5" s="19"/>
      <c r="SAV5" s="19"/>
      <c r="SAW5" s="19"/>
      <c r="SAX5" s="19"/>
      <c r="SAY5" s="19"/>
      <c r="SAZ5" s="19"/>
      <c r="SBA5" s="19"/>
      <c r="SBB5" s="19"/>
      <c r="SBC5" s="19"/>
      <c r="SBD5" s="19"/>
      <c r="SBE5" s="19"/>
      <c r="SBF5" s="19"/>
      <c r="SBG5" s="19"/>
      <c r="SBH5" s="19"/>
      <c r="SBI5" s="19"/>
      <c r="SBJ5" s="19"/>
      <c r="SBK5" s="19"/>
      <c r="SBL5" s="19"/>
      <c r="SBM5" s="19"/>
      <c r="SBN5" s="19"/>
      <c r="SBO5" s="19"/>
      <c r="SBP5" s="19"/>
      <c r="SBQ5" s="19"/>
      <c r="SBR5" s="19"/>
      <c r="SBS5" s="19"/>
      <c r="SBT5" s="19"/>
      <c r="SBU5" s="19"/>
      <c r="SBV5" s="19"/>
      <c r="SBW5" s="19"/>
      <c r="SBX5" s="19"/>
      <c r="SBY5" s="19"/>
      <c r="SBZ5" s="19"/>
      <c r="SCA5" s="19"/>
      <c r="SCB5" s="19"/>
      <c r="SCC5" s="19"/>
      <c r="SCD5" s="19"/>
      <c r="SCE5" s="19"/>
      <c r="SCF5" s="19"/>
      <c r="SCG5" s="19"/>
      <c r="SCH5" s="19"/>
      <c r="SCI5" s="19"/>
      <c r="SCJ5" s="19"/>
      <c r="SCK5" s="19"/>
      <c r="SCL5" s="19"/>
      <c r="SCM5" s="19"/>
      <c r="SCN5" s="19"/>
      <c r="SCO5" s="19"/>
      <c r="SCP5" s="19"/>
      <c r="SCQ5" s="19"/>
      <c r="SCR5" s="19"/>
      <c r="SCS5" s="19"/>
      <c r="SCT5" s="19"/>
      <c r="SCU5" s="19"/>
      <c r="SCV5" s="19"/>
      <c r="SCW5" s="19"/>
      <c r="SCX5" s="19"/>
      <c r="SCY5" s="19"/>
      <c r="SCZ5" s="19"/>
      <c r="SDA5" s="19"/>
      <c r="SDB5" s="19"/>
      <c r="SDC5" s="19"/>
      <c r="SDD5" s="19"/>
      <c r="SDE5" s="19"/>
      <c r="SDF5" s="19"/>
      <c r="SDG5" s="19"/>
      <c r="SDH5" s="19"/>
      <c r="SDI5" s="19"/>
      <c r="SDJ5" s="19"/>
      <c r="SDK5" s="19"/>
      <c r="SDL5" s="19"/>
      <c r="SDM5" s="19"/>
      <c r="SDN5" s="19"/>
      <c r="SDO5" s="19"/>
      <c r="SDP5" s="19"/>
      <c r="SDQ5" s="19"/>
      <c r="SDR5" s="19"/>
      <c r="SDS5" s="19"/>
      <c r="SDT5" s="19"/>
      <c r="SDU5" s="19"/>
      <c r="SDV5" s="19"/>
      <c r="SDW5" s="19"/>
      <c r="SDX5" s="19"/>
      <c r="SDY5" s="19"/>
      <c r="SDZ5" s="19"/>
      <c r="SEA5" s="19"/>
      <c r="SEB5" s="19"/>
      <c r="SEC5" s="19"/>
      <c r="SED5" s="19"/>
      <c r="SEE5" s="19"/>
      <c r="SEF5" s="19"/>
      <c r="SEG5" s="19"/>
      <c r="SEH5" s="19"/>
      <c r="SEI5" s="19"/>
      <c r="SEJ5" s="19"/>
      <c r="SEK5" s="19"/>
      <c r="SEL5" s="19"/>
      <c r="SEM5" s="19"/>
      <c r="SEN5" s="19"/>
      <c r="SEO5" s="19"/>
      <c r="SEP5" s="19"/>
      <c r="SEQ5" s="19"/>
      <c r="SER5" s="19"/>
      <c r="SES5" s="19"/>
      <c r="SET5" s="19"/>
      <c r="SEU5" s="19"/>
      <c r="SEV5" s="19"/>
      <c r="SEW5" s="19"/>
      <c r="SEX5" s="19"/>
      <c r="SEY5" s="19"/>
      <c r="SEZ5" s="19"/>
      <c r="SFA5" s="19"/>
      <c r="SFB5" s="19"/>
      <c r="SFC5" s="19"/>
      <c r="SFD5" s="19"/>
      <c r="SFE5" s="19"/>
      <c r="SFF5" s="19"/>
      <c r="SFG5" s="19"/>
      <c r="SFH5" s="19"/>
      <c r="SFI5" s="19"/>
      <c r="SFJ5" s="19"/>
      <c r="SFK5" s="19"/>
      <c r="SFL5" s="19"/>
      <c r="SFM5" s="19"/>
      <c r="SFN5" s="19"/>
      <c r="SFO5" s="19"/>
      <c r="SFP5" s="19"/>
      <c r="SFQ5" s="19"/>
      <c r="SFR5" s="19"/>
      <c r="SFS5" s="19"/>
      <c r="SFT5" s="19"/>
      <c r="SFU5" s="19"/>
      <c r="SFV5" s="19"/>
      <c r="SFW5" s="19"/>
      <c r="SFX5" s="19"/>
      <c r="SFY5" s="19"/>
      <c r="SFZ5" s="19"/>
      <c r="SGA5" s="19"/>
      <c r="SGB5" s="19"/>
      <c r="SGC5" s="19"/>
      <c r="SGD5" s="19"/>
      <c r="SGE5" s="19"/>
      <c r="SGF5" s="19"/>
      <c r="SGG5" s="19"/>
      <c r="SGH5" s="19"/>
      <c r="SGI5" s="19"/>
      <c r="SGJ5" s="19"/>
      <c r="SGK5" s="19"/>
      <c r="SGL5" s="19"/>
      <c r="SGM5" s="19"/>
      <c r="SGN5" s="19"/>
      <c r="SGO5" s="19"/>
      <c r="SGP5" s="19"/>
      <c r="SGQ5" s="19"/>
      <c r="SGR5" s="19"/>
      <c r="SGS5" s="19"/>
      <c r="SGT5" s="19"/>
      <c r="SGU5" s="19"/>
      <c r="SGV5" s="19"/>
      <c r="SGW5" s="19"/>
      <c r="SGX5" s="19"/>
      <c r="SGY5" s="19"/>
      <c r="SGZ5" s="19"/>
      <c r="SHA5" s="19"/>
      <c r="SHB5" s="19"/>
      <c r="SHC5" s="19"/>
      <c r="SHD5" s="19"/>
      <c r="SHE5" s="19"/>
      <c r="SHF5" s="19"/>
      <c r="SHG5" s="19"/>
      <c r="SHH5" s="19"/>
      <c r="SHI5" s="19"/>
      <c r="SHJ5" s="19"/>
      <c r="SHK5" s="19"/>
      <c r="SHL5" s="19"/>
      <c r="SHM5" s="19"/>
      <c r="SHN5" s="19"/>
      <c r="SHO5" s="19"/>
      <c r="SHP5" s="19"/>
      <c r="SHQ5" s="19"/>
      <c r="SHR5" s="19"/>
      <c r="SHS5" s="19"/>
      <c r="SHT5" s="19"/>
      <c r="SHU5" s="19"/>
      <c r="SHV5" s="19"/>
      <c r="SHW5" s="19"/>
      <c r="SHX5" s="19"/>
      <c r="SHY5" s="19"/>
      <c r="SHZ5" s="19"/>
      <c r="SIA5" s="19"/>
      <c r="SIB5" s="19"/>
      <c r="SIC5" s="19"/>
      <c r="SID5" s="19"/>
      <c r="SIE5" s="19"/>
      <c r="SIF5" s="19"/>
      <c r="SIG5" s="19"/>
      <c r="SIH5" s="19"/>
      <c r="SII5" s="19"/>
      <c r="SIJ5" s="19"/>
      <c r="SIK5" s="19"/>
      <c r="SIL5" s="19"/>
      <c r="SIM5" s="19"/>
      <c r="SIN5" s="19"/>
      <c r="SIO5" s="19"/>
      <c r="SIP5" s="19"/>
      <c r="SIQ5" s="19"/>
      <c r="SIR5" s="19"/>
      <c r="SIS5" s="19"/>
      <c r="SIT5" s="19"/>
      <c r="SIU5" s="19"/>
      <c r="SIV5" s="19"/>
      <c r="SIW5" s="19"/>
      <c r="SIX5" s="19"/>
      <c r="SIY5" s="19"/>
      <c r="SIZ5" s="19"/>
      <c r="SJA5" s="19"/>
      <c r="SJB5" s="19"/>
      <c r="SJC5" s="19"/>
      <c r="SJD5" s="19"/>
      <c r="SJE5" s="19"/>
      <c r="SJF5" s="19"/>
      <c r="SJG5" s="19"/>
      <c r="SJH5" s="19"/>
      <c r="SJI5" s="19"/>
      <c r="SJJ5" s="19"/>
      <c r="SJK5" s="19"/>
      <c r="SJL5" s="19"/>
      <c r="SJM5" s="19"/>
      <c r="SJN5" s="19"/>
      <c r="SJO5" s="19"/>
      <c r="SJP5" s="19"/>
      <c r="SJQ5" s="19"/>
      <c r="SJR5" s="19"/>
      <c r="SJS5" s="19"/>
      <c r="SJT5" s="19"/>
      <c r="SJU5" s="19"/>
      <c r="SJV5" s="19"/>
      <c r="SJW5" s="19"/>
      <c r="SJX5" s="19"/>
      <c r="SJY5" s="19"/>
      <c r="SJZ5" s="19"/>
      <c r="SKA5" s="19"/>
      <c r="SKB5" s="19"/>
      <c r="SKC5" s="19"/>
      <c r="SKD5" s="19"/>
      <c r="SKE5" s="19"/>
      <c r="SKF5" s="19"/>
      <c r="SKG5" s="19"/>
      <c r="SKH5" s="19"/>
      <c r="SKI5" s="19"/>
      <c r="SKJ5" s="19"/>
      <c r="SKK5" s="19"/>
      <c r="SKL5" s="19"/>
      <c r="SKM5" s="19"/>
      <c r="SKN5" s="19"/>
      <c r="SKO5" s="19"/>
      <c r="SKP5" s="19"/>
      <c r="SKQ5" s="19"/>
      <c r="SKR5" s="19"/>
      <c r="SKS5" s="19"/>
      <c r="SKT5" s="19"/>
      <c r="SKU5" s="19"/>
      <c r="SKV5" s="19"/>
      <c r="SKW5" s="19"/>
      <c r="SKX5" s="19"/>
      <c r="SKY5" s="19"/>
      <c r="SKZ5" s="19"/>
      <c r="SLA5" s="19"/>
      <c r="SLB5" s="19"/>
      <c r="SLC5" s="19"/>
      <c r="SLD5" s="19"/>
      <c r="SLE5" s="19"/>
      <c r="SLF5" s="19"/>
      <c r="SLG5" s="19"/>
      <c r="SLH5" s="19"/>
      <c r="SLI5" s="19"/>
      <c r="SLJ5" s="19"/>
      <c r="SLK5" s="19"/>
      <c r="SLL5" s="19"/>
      <c r="SLM5" s="19"/>
      <c r="SLN5" s="19"/>
      <c r="SLO5" s="19"/>
      <c r="SLP5" s="19"/>
      <c r="SLQ5" s="19"/>
      <c r="SLR5" s="19"/>
      <c r="SLS5" s="19"/>
      <c r="SLT5" s="19"/>
      <c r="SLU5" s="19"/>
      <c r="SLV5" s="19"/>
      <c r="SLW5" s="19"/>
      <c r="SLX5" s="19"/>
      <c r="SLY5" s="19"/>
      <c r="SLZ5" s="19"/>
      <c r="SMA5" s="19"/>
      <c r="SMB5" s="19"/>
      <c r="SMC5" s="19"/>
      <c r="SMD5" s="19"/>
      <c r="SME5" s="19"/>
      <c r="SMF5" s="19"/>
      <c r="SMG5" s="19"/>
      <c r="SMH5" s="19"/>
      <c r="SMI5" s="19"/>
      <c r="SMJ5" s="19"/>
      <c r="SMK5" s="19"/>
      <c r="SML5" s="19"/>
      <c r="SMM5" s="19"/>
      <c r="SMN5" s="19"/>
      <c r="SMO5" s="19"/>
      <c r="SMP5" s="19"/>
      <c r="SMQ5" s="19"/>
      <c r="SMR5" s="19"/>
      <c r="SMS5" s="19"/>
      <c r="SMT5" s="19"/>
      <c r="SMU5" s="19"/>
      <c r="SMV5" s="19"/>
      <c r="SMW5" s="19"/>
      <c r="SMX5" s="19"/>
      <c r="SMY5" s="19"/>
      <c r="SMZ5" s="19"/>
      <c r="SNA5" s="19"/>
      <c r="SNB5" s="19"/>
      <c r="SNC5" s="19"/>
      <c r="SND5" s="19"/>
      <c r="SNE5" s="19"/>
      <c r="SNF5" s="19"/>
      <c r="SNG5" s="19"/>
      <c r="SNH5" s="19"/>
      <c r="SNI5" s="19"/>
      <c r="SNJ5" s="19"/>
      <c r="SNK5" s="19"/>
      <c r="SNL5" s="19"/>
      <c r="SNM5" s="19"/>
      <c r="SNN5" s="19"/>
      <c r="SNO5" s="19"/>
      <c r="SNP5" s="19"/>
      <c r="SNQ5" s="19"/>
      <c r="SNR5" s="19"/>
      <c r="SNS5" s="19"/>
      <c r="SNT5" s="19"/>
      <c r="SNU5" s="19"/>
      <c r="SNV5" s="19"/>
      <c r="SNW5" s="19"/>
      <c r="SNX5" s="19"/>
      <c r="SNY5" s="19"/>
      <c r="SNZ5" s="19"/>
      <c r="SOA5" s="19"/>
      <c r="SOB5" s="19"/>
      <c r="SOC5" s="19"/>
      <c r="SOD5" s="19"/>
      <c r="SOE5" s="19"/>
      <c r="SOF5" s="19"/>
      <c r="SOG5" s="19"/>
      <c r="SOH5" s="19"/>
      <c r="SOI5" s="19"/>
      <c r="SOJ5" s="19"/>
      <c r="SOK5" s="19"/>
      <c r="SOL5" s="19"/>
      <c r="SOM5" s="19"/>
      <c r="SON5" s="19"/>
      <c r="SOO5" s="19"/>
      <c r="SOP5" s="19"/>
      <c r="SOQ5" s="19"/>
      <c r="SOR5" s="19"/>
      <c r="SOS5" s="19"/>
      <c r="SOT5" s="19"/>
      <c r="SOU5" s="19"/>
      <c r="SOV5" s="19"/>
      <c r="SOW5" s="19"/>
      <c r="SOX5" s="19"/>
      <c r="SOY5" s="19"/>
      <c r="SOZ5" s="19"/>
      <c r="SPA5" s="19"/>
      <c r="SPB5" s="19"/>
      <c r="SPC5" s="19"/>
      <c r="SPD5" s="19"/>
      <c r="SPE5" s="19"/>
      <c r="SPF5" s="19"/>
      <c r="SPG5" s="19"/>
      <c r="SPH5" s="19"/>
      <c r="SPI5" s="19"/>
      <c r="SPJ5" s="19"/>
      <c r="SPK5" s="19"/>
      <c r="SPL5" s="19"/>
      <c r="SPM5" s="19"/>
      <c r="SPN5" s="19"/>
      <c r="SPO5" s="19"/>
      <c r="SPP5" s="19"/>
      <c r="SPQ5" s="19"/>
      <c r="SPR5" s="19"/>
      <c r="SPS5" s="19"/>
      <c r="SPT5" s="19"/>
      <c r="SPU5" s="19"/>
      <c r="SPV5" s="19"/>
      <c r="SPW5" s="19"/>
      <c r="SPX5" s="19"/>
      <c r="SPY5" s="19"/>
      <c r="SPZ5" s="19"/>
      <c r="SQA5" s="19"/>
      <c r="SQB5" s="19"/>
      <c r="SQC5" s="19"/>
      <c r="SQD5" s="19"/>
      <c r="SQE5" s="19"/>
      <c r="SQF5" s="19"/>
      <c r="SQG5" s="19"/>
      <c r="SQH5" s="19"/>
      <c r="SQI5" s="19"/>
      <c r="SQJ5" s="19"/>
      <c r="SQK5" s="19"/>
      <c r="SQL5" s="19"/>
      <c r="SQM5" s="19"/>
      <c r="SQN5" s="19"/>
      <c r="SQO5" s="19"/>
      <c r="SQP5" s="19"/>
      <c r="SQQ5" s="19"/>
      <c r="SQR5" s="19"/>
      <c r="SQS5" s="19"/>
      <c r="SQT5" s="19"/>
      <c r="SQU5" s="19"/>
      <c r="SQV5" s="19"/>
      <c r="SQW5" s="19"/>
      <c r="SQX5" s="19"/>
      <c r="SQY5" s="19"/>
      <c r="SQZ5" s="19"/>
      <c r="SRA5" s="19"/>
      <c r="SRB5" s="19"/>
      <c r="SRC5" s="19"/>
      <c r="SRD5" s="19"/>
      <c r="SRE5" s="19"/>
      <c r="SRF5" s="19"/>
      <c r="SRG5" s="19"/>
      <c r="SRH5" s="19"/>
      <c r="SRI5" s="19"/>
      <c r="SRJ5" s="19"/>
      <c r="SRK5" s="19"/>
      <c r="SRL5" s="19"/>
      <c r="SRM5" s="19"/>
      <c r="SRN5" s="19"/>
      <c r="SRO5" s="19"/>
      <c r="SRP5" s="19"/>
      <c r="SRQ5" s="19"/>
      <c r="SRR5" s="19"/>
      <c r="SRS5" s="19"/>
      <c r="SRT5" s="19"/>
      <c r="SRU5" s="19"/>
      <c r="SRV5" s="19"/>
      <c r="SRW5" s="19"/>
      <c r="SRX5" s="19"/>
      <c r="SRY5" s="19"/>
      <c r="SRZ5" s="19"/>
      <c r="SSA5" s="19"/>
      <c r="SSB5" s="19"/>
      <c r="SSC5" s="19"/>
      <c r="SSD5" s="19"/>
      <c r="SSE5" s="19"/>
      <c r="SSF5" s="19"/>
      <c r="SSG5" s="19"/>
      <c r="SSH5" s="19"/>
      <c r="SSI5" s="19"/>
      <c r="SSJ5" s="19"/>
      <c r="SSK5" s="19"/>
      <c r="SSL5" s="19"/>
      <c r="SSM5" s="19"/>
      <c r="SSN5" s="19"/>
      <c r="SSO5" s="19"/>
      <c r="SSP5" s="19"/>
      <c r="SSQ5" s="19"/>
      <c r="SSR5" s="19"/>
      <c r="SSS5" s="19"/>
      <c r="SST5" s="19"/>
      <c r="SSU5" s="19"/>
      <c r="SSV5" s="19"/>
      <c r="SSW5" s="19"/>
      <c r="SSX5" s="19"/>
      <c r="SSY5" s="19"/>
      <c r="SSZ5" s="19"/>
      <c r="STA5" s="19"/>
      <c r="STB5" s="19"/>
      <c r="STC5" s="19"/>
      <c r="STD5" s="19"/>
      <c r="STE5" s="19"/>
      <c r="STF5" s="19"/>
      <c r="STG5" s="19"/>
      <c r="STH5" s="19"/>
      <c r="STI5" s="19"/>
      <c r="STJ5" s="19"/>
      <c r="STK5" s="19"/>
      <c r="STL5" s="19"/>
      <c r="STM5" s="19"/>
      <c r="STN5" s="19"/>
      <c r="STO5" s="19"/>
      <c r="STP5" s="19"/>
      <c r="STQ5" s="19"/>
      <c r="STR5" s="19"/>
      <c r="STS5" s="19"/>
      <c r="STT5" s="19"/>
      <c r="STU5" s="19"/>
      <c r="STV5" s="19"/>
      <c r="STW5" s="19"/>
      <c r="STX5" s="19"/>
      <c r="STY5" s="19"/>
      <c r="STZ5" s="19"/>
      <c r="SUA5" s="19"/>
      <c r="SUB5" s="19"/>
      <c r="SUC5" s="19"/>
      <c r="SUD5" s="19"/>
      <c r="SUE5" s="19"/>
      <c r="SUF5" s="19"/>
      <c r="SUG5" s="19"/>
      <c r="SUH5" s="19"/>
      <c r="SUI5" s="19"/>
      <c r="SUJ5" s="19"/>
      <c r="SUK5" s="19"/>
      <c r="SUL5" s="19"/>
      <c r="SUM5" s="19"/>
      <c r="SUN5" s="19"/>
      <c r="SUO5" s="19"/>
      <c r="SUP5" s="19"/>
      <c r="SUQ5" s="19"/>
      <c r="SUR5" s="19"/>
      <c r="SUS5" s="19"/>
      <c r="SUT5" s="19"/>
      <c r="SUU5" s="19"/>
      <c r="SUV5" s="19"/>
      <c r="SUW5" s="19"/>
      <c r="SUX5" s="19"/>
      <c r="SUY5" s="19"/>
      <c r="SUZ5" s="19"/>
      <c r="SVA5" s="19"/>
      <c r="SVB5" s="19"/>
      <c r="SVC5" s="19"/>
      <c r="SVD5" s="19"/>
      <c r="SVE5" s="19"/>
      <c r="SVF5" s="19"/>
      <c r="SVG5" s="19"/>
      <c r="SVH5" s="19"/>
      <c r="SVI5" s="19"/>
      <c r="SVJ5" s="19"/>
      <c r="SVK5" s="19"/>
      <c r="SVL5" s="19"/>
      <c r="SVM5" s="19"/>
      <c r="SVN5" s="19"/>
      <c r="SVO5" s="19"/>
      <c r="SVP5" s="19"/>
      <c r="SVQ5" s="19"/>
      <c r="SVR5" s="19"/>
      <c r="SVS5" s="19"/>
      <c r="SVT5" s="19"/>
      <c r="SVU5" s="19"/>
      <c r="SVV5" s="19"/>
      <c r="SVW5" s="19"/>
      <c r="SVX5" s="19"/>
      <c r="SVY5" s="19"/>
      <c r="SVZ5" s="19"/>
      <c r="SWA5" s="19"/>
      <c r="SWB5" s="19"/>
      <c r="SWC5" s="19"/>
      <c r="SWD5" s="19"/>
      <c r="SWE5" s="19"/>
      <c r="SWF5" s="19"/>
      <c r="SWG5" s="19"/>
      <c r="SWH5" s="19"/>
      <c r="SWI5" s="19"/>
      <c r="SWJ5" s="19"/>
      <c r="SWK5" s="19"/>
      <c r="SWL5" s="19"/>
      <c r="SWM5" s="19"/>
      <c r="SWN5" s="19"/>
      <c r="SWO5" s="19"/>
      <c r="SWP5" s="19"/>
      <c r="SWQ5" s="19"/>
      <c r="SWR5" s="19"/>
      <c r="SWS5" s="19"/>
      <c r="SWT5" s="19"/>
      <c r="SWU5" s="19"/>
      <c r="SWV5" s="19"/>
      <c r="SWW5" s="19"/>
      <c r="SWX5" s="19"/>
      <c r="SWY5" s="19"/>
      <c r="SWZ5" s="19"/>
      <c r="SXA5" s="19"/>
      <c r="SXB5" s="19"/>
      <c r="SXC5" s="19"/>
      <c r="SXD5" s="19"/>
      <c r="SXE5" s="19"/>
      <c r="SXF5" s="19"/>
      <c r="SXG5" s="19"/>
      <c r="SXH5" s="19"/>
      <c r="SXI5" s="19"/>
      <c r="SXJ5" s="19"/>
      <c r="SXK5" s="19"/>
      <c r="SXL5" s="19"/>
      <c r="SXM5" s="19"/>
      <c r="SXN5" s="19"/>
      <c r="SXO5" s="19"/>
      <c r="SXP5" s="19"/>
      <c r="SXQ5" s="19"/>
      <c r="SXR5" s="19"/>
      <c r="SXS5" s="19"/>
      <c r="SXT5" s="19"/>
      <c r="SXU5" s="19"/>
      <c r="SXV5" s="19"/>
      <c r="SXW5" s="19"/>
      <c r="SXX5" s="19"/>
      <c r="SXY5" s="19"/>
      <c r="SXZ5" s="19"/>
      <c r="SYA5" s="19"/>
      <c r="SYB5" s="19"/>
      <c r="SYC5" s="19"/>
      <c r="SYD5" s="19"/>
      <c r="SYE5" s="19"/>
      <c r="SYF5" s="19"/>
      <c r="SYG5" s="19"/>
      <c r="SYH5" s="19"/>
      <c r="SYI5" s="19"/>
      <c r="SYJ5" s="19"/>
      <c r="SYK5" s="19"/>
      <c r="SYL5" s="19"/>
      <c r="SYM5" s="19"/>
      <c r="SYN5" s="19"/>
      <c r="SYO5" s="19"/>
      <c r="SYP5" s="19"/>
      <c r="SYQ5" s="19"/>
      <c r="SYR5" s="19"/>
      <c r="SYS5" s="19"/>
      <c r="SYT5" s="19"/>
      <c r="SYU5" s="19"/>
      <c r="SYV5" s="19"/>
      <c r="SYW5" s="19"/>
      <c r="SYX5" s="19"/>
      <c r="SYY5" s="19"/>
      <c r="SYZ5" s="19"/>
      <c r="SZA5" s="19"/>
      <c r="SZB5" s="19"/>
      <c r="SZC5" s="19"/>
      <c r="SZD5" s="19"/>
      <c r="SZE5" s="19"/>
      <c r="SZF5" s="19"/>
      <c r="SZG5" s="19"/>
      <c r="SZH5" s="19"/>
      <c r="SZI5" s="19"/>
      <c r="SZJ5" s="19"/>
      <c r="SZK5" s="19"/>
      <c r="SZL5" s="19"/>
      <c r="SZM5" s="19"/>
      <c r="SZN5" s="19"/>
      <c r="SZO5" s="19"/>
      <c r="SZP5" s="19"/>
      <c r="SZQ5" s="19"/>
      <c r="SZR5" s="19"/>
      <c r="SZS5" s="19"/>
      <c r="SZT5" s="19"/>
      <c r="SZU5" s="19"/>
      <c r="SZV5" s="19"/>
      <c r="SZW5" s="19"/>
      <c r="SZX5" s="19"/>
      <c r="SZY5" s="19"/>
      <c r="SZZ5" s="19"/>
      <c r="TAA5" s="19"/>
      <c r="TAB5" s="19"/>
      <c r="TAC5" s="19"/>
      <c r="TAD5" s="19"/>
      <c r="TAE5" s="19"/>
      <c r="TAF5" s="19"/>
      <c r="TAG5" s="19"/>
      <c r="TAH5" s="19"/>
      <c r="TAI5" s="19"/>
      <c r="TAJ5" s="19"/>
      <c r="TAK5" s="19"/>
      <c r="TAL5" s="19"/>
      <c r="TAM5" s="19"/>
      <c r="TAN5" s="19"/>
      <c r="TAO5" s="19"/>
      <c r="TAP5" s="19"/>
      <c r="TAQ5" s="19"/>
      <c r="TAR5" s="19"/>
      <c r="TAS5" s="19"/>
      <c r="TAT5" s="19"/>
      <c r="TAU5" s="19"/>
      <c r="TAV5" s="19"/>
      <c r="TAW5" s="19"/>
      <c r="TAX5" s="19"/>
      <c r="TAY5" s="19"/>
      <c r="TAZ5" s="19"/>
      <c r="TBA5" s="19"/>
      <c r="TBB5" s="19"/>
      <c r="TBC5" s="19"/>
      <c r="TBD5" s="19"/>
      <c r="TBE5" s="19"/>
      <c r="TBF5" s="19"/>
      <c r="TBG5" s="19"/>
      <c r="TBH5" s="19"/>
      <c r="TBI5" s="19"/>
      <c r="TBJ5" s="19"/>
      <c r="TBK5" s="19"/>
      <c r="TBL5" s="19"/>
      <c r="TBM5" s="19"/>
      <c r="TBN5" s="19"/>
      <c r="TBO5" s="19"/>
      <c r="TBP5" s="19"/>
      <c r="TBQ5" s="19"/>
      <c r="TBR5" s="19"/>
      <c r="TBS5" s="19"/>
      <c r="TBT5" s="19"/>
      <c r="TBU5" s="19"/>
      <c r="TBV5" s="19"/>
      <c r="TBW5" s="19"/>
      <c r="TBX5" s="19"/>
      <c r="TBY5" s="19"/>
      <c r="TBZ5" s="19"/>
      <c r="TCA5" s="19"/>
      <c r="TCB5" s="19"/>
      <c r="TCC5" s="19"/>
      <c r="TCD5" s="19"/>
      <c r="TCE5" s="19"/>
      <c r="TCF5" s="19"/>
      <c r="TCG5" s="19"/>
      <c r="TCH5" s="19"/>
      <c r="TCI5" s="19"/>
      <c r="TCJ5" s="19"/>
      <c r="TCK5" s="19"/>
      <c r="TCL5" s="19"/>
      <c r="TCM5" s="19"/>
      <c r="TCN5" s="19"/>
      <c r="TCO5" s="19"/>
      <c r="TCP5" s="19"/>
      <c r="TCQ5" s="19"/>
      <c r="TCR5" s="19"/>
      <c r="TCS5" s="19"/>
      <c r="TCT5" s="19"/>
      <c r="TCU5" s="19"/>
      <c r="TCV5" s="19"/>
      <c r="TCW5" s="19"/>
      <c r="TCX5" s="19"/>
      <c r="TCY5" s="19"/>
      <c r="TCZ5" s="19"/>
      <c r="TDA5" s="19"/>
      <c r="TDB5" s="19"/>
      <c r="TDC5" s="19"/>
      <c r="TDD5" s="19"/>
      <c r="TDE5" s="19"/>
      <c r="TDF5" s="19"/>
      <c r="TDG5" s="19"/>
      <c r="TDH5" s="19"/>
      <c r="TDI5" s="19"/>
      <c r="TDJ5" s="19"/>
      <c r="TDK5" s="19"/>
      <c r="TDL5" s="19"/>
      <c r="TDM5" s="19"/>
      <c r="TDN5" s="19"/>
      <c r="TDO5" s="19"/>
      <c r="TDP5" s="19"/>
      <c r="TDQ5" s="19"/>
      <c r="TDR5" s="19"/>
      <c r="TDS5" s="19"/>
      <c r="TDT5" s="19"/>
      <c r="TDU5" s="19"/>
      <c r="TDV5" s="19"/>
      <c r="TDW5" s="19"/>
      <c r="TDX5" s="19"/>
      <c r="TDY5" s="19"/>
      <c r="TDZ5" s="19"/>
      <c r="TEA5" s="19"/>
      <c r="TEB5" s="19"/>
      <c r="TEC5" s="19"/>
      <c r="TED5" s="19"/>
      <c r="TEE5" s="19"/>
      <c r="TEF5" s="19"/>
      <c r="TEG5" s="19"/>
      <c r="TEH5" s="19"/>
      <c r="TEI5" s="19"/>
      <c r="TEJ5" s="19"/>
      <c r="TEK5" s="19"/>
      <c r="TEL5" s="19"/>
      <c r="TEM5" s="19"/>
      <c r="TEN5" s="19"/>
      <c r="TEO5" s="19"/>
      <c r="TEP5" s="19"/>
      <c r="TEQ5" s="19"/>
      <c r="TER5" s="19"/>
      <c r="TES5" s="19"/>
      <c r="TET5" s="19"/>
      <c r="TEU5" s="19"/>
      <c r="TEV5" s="19"/>
      <c r="TEW5" s="19"/>
      <c r="TEX5" s="19"/>
      <c r="TEY5" s="19"/>
      <c r="TEZ5" s="19"/>
      <c r="TFA5" s="19"/>
      <c r="TFB5" s="19"/>
      <c r="TFC5" s="19"/>
      <c r="TFD5" s="19"/>
      <c r="TFE5" s="19"/>
      <c r="TFF5" s="19"/>
      <c r="TFG5" s="19"/>
      <c r="TFH5" s="19"/>
      <c r="TFI5" s="19"/>
      <c r="TFJ5" s="19"/>
      <c r="TFK5" s="19"/>
      <c r="TFL5" s="19"/>
      <c r="TFM5" s="19"/>
      <c r="TFN5" s="19"/>
      <c r="TFO5" s="19"/>
      <c r="TFP5" s="19"/>
      <c r="TFQ5" s="19"/>
      <c r="TFR5" s="19"/>
      <c r="TFS5" s="19"/>
      <c r="TFT5" s="19"/>
      <c r="TFU5" s="19"/>
      <c r="TFV5" s="19"/>
      <c r="TFW5" s="19"/>
      <c r="TFX5" s="19"/>
      <c r="TFY5" s="19"/>
      <c r="TFZ5" s="19"/>
      <c r="TGA5" s="19"/>
      <c r="TGB5" s="19"/>
      <c r="TGC5" s="19"/>
      <c r="TGD5" s="19"/>
      <c r="TGE5" s="19"/>
      <c r="TGF5" s="19"/>
      <c r="TGG5" s="19"/>
      <c r="TGH5" s="19"/>
      <c r="TGI5" s="19"/>
      <c r="TGJ5" s="19"/>
      <c r="TGK5" s="19"/>
      <c r="TGL5" s="19"/>
      <c r="TGM5" s="19"/>
      <c r="TGN5" s="19"/>
      <c r="TGO5" s="19"/>
      <c r="TGP5" s="19"/>
      <c r="TGQ5" s="19"/>
      <c r="TGR5" s="19"/>
      <c r="TGS5" s="19"/>
      <c r="TGT5" s="19"/>
      <c r="TGU5" s="19"/>
      <c r="TGV5" s="19"/>
      <c r="TGW5" s="19"/>
      <c r="TGX5" s="19"/>
      <c r="TGY5" s="19"/>
      <c r="TGZ5" s="19"/>
      <c r="THA5" s="19"/>
      <c r="THB5" s="19"/>
      <c r="THC5" s="19"/>
      <c r="THD5" s="19"/>
      <c r="THE5" s="19"/>
      <c r="THF5" s="19"/>
      <c r="THG5" s="19"/>
      <c r="THH5" s="19"/>
      <c r="THI5" s="19"/>
      <c r="THJ5" s="19"/>
      <c r="THK5" s="19"/>
      <c r="THL5" s="19"/>
      <c r="THM5" s="19"/>
      <c r="THN5" s="19"/>
      <c r="THO5" s="19"/>
      <c r="THP5" s="19"/>
      <c r="THQ5" s="19"/>
      <c r="THR5" s="19"/>
      <c r="THS5" s="19"/>
      <c r="THT5" s="19"/>
      <c r="THU5" s="19"/>
      <c r="THV5" s="19"/>
      <c r="THW5" s="19"/>
      <c r="THX5" s="19"/>
      <c r="THY5" s="19"/>
      <c r="THZ5" s="19"/>
      <c r="TIA5" s="19"/>
      <c r="TIB5" s="19"/>
      <c r="TIC5" s="19"/>
      <c r="TID5" s="19"/>
      <c r="TIE5" s="19"/>
      <c r="TIF5" s="19"/>
      <c r="TIG5" s="19"/>
      <c r="TIH5" s="19"/>
      <c r="TII5" s="19"/>
      <c r="TIJ5" s="19"/>
      <c r="TIK5" s="19"/>
      <c r="TIL5" s="19"/>
      <c r="TIM5" s="19"/>
      <c r="TIN5" s="19"/>
      <c r="TIO5" s="19"/>
      <c r="TIP5" s="19"/>
      <c r="TIQ5" s="19"/>
      <c r="TIR5" s="19"/>
      <c r="TIS5" s="19"/>
      <c r="TIT5" s="19"/>
      <c r="TIU5" s="19"/>
      <c r="TIV5" s="19"/>
      <c r="TIW5" s="19"/>
      <c r="TIX5" s="19"/>
      <c r="TIY5" s="19"/>
      <c r="TIZ5" s="19"/>
      <c r="TJA5" s="19"/>
      <c r="TJB5" s="19"/>
      <c r="TJC5" s="19"/>
      <c r="TJD5" s="19"/>
      <c r="TJE5" s="19"/>
      <c r="TJF5" s="19"/>
      <c r="TJG5" s="19"/>
      <c r="TJH5" s="19"/>
      <c r="TJI5" s="19"/>
      <c r="TJJ5" s="19"/>
      <c r="TJK5" s="19"/>
      <c r="TJL5" s="19"/>
      <c r="TJM5" s="19"/>
      <c r="TJN5" s="19"/>
      <c r="TJO5" s="19"/>
      <c r="TJP5" s="19"/>
      <c r="TJQ5" s="19"/>
      <c r="TJR5" s="19"/>
      <c r="TJS5" s="19"/>
      <c r="TJT5" s="19"/>
      <c r="TJU5" s="19"/>
      <c r="TJV5" s="19"/>
      <c r="TJW5" s="19"/>
      <c r="TJX5" s="19"/>
      <c r="TJY5" s="19"/>
      <c r="TJZ5" s="19"/>
      <c r="TKA5" s="19"/>
      <c r="TKB5" s="19"/>
      <c r="TKC5" s="19"/>
      <c r="TKD5" s="19"/>
      <c r="TKE5" s="19"/>
      <c r="TKF5" s="19"/>
      <c r="TKG5" s="19"/>
      <c r="TKH5" s="19"/>
      <c r="TKI5" s="19"/>
      <c r="TKJ5" s="19"/>
      <c r="TKK5" s="19"/>
      <c r="TKL5" s="19"/>
      <c r="TKM5" s="19"/>
      <c r="TKN5" s="19"/>
      <c r="TKO5" s="19"/>
      <c r="TKP5" s="19"/>
      <c r="TKQ5" s="19"/>
      <c r="TKR5" s="19"/>
      <c r="TKS5" s="19"/>
      <c r="TKT5" s="19"/>
      <c r="TKU5" s="19"/>
      <c r="TKV5" s="19"/>
      <c r="TKW5" s="19"/>
      <c r="TKX5" s="19"/>
      <c r="TKY5" s="19"/>
      <c r="TKZ5" s="19"/>
      <c r="TLA5" s="19"/>
      <c r="TLB5" s="19"/>
      <c r="TLC5" s="19"/>
      <c r="TLD5" s="19"/>
      <c r="TLE5" s="19"/>
      <c r="TLF5" s="19"/>
      <c r="TLG5" s="19"/>
      <c r="TLH5" s="19"/>
      <c r="TLI5" s="19"/>
      <c r="TLJ5" s="19"/>
      <c r="TLK5" s="19"/>
      <c r="TLL5" s="19"/>
      <c r="TLM5" s="19"/>
      <c r="TLN5" s="19"/>
      <c r="TLO5" s="19"/>
      <c r="TLP5" s="19"/>
      <c r="TLQ5" s="19"/>
      <c r="TLR5" s="19"/>
      <c r="TLS5" s="19"/>
      <c r="TLT5" s="19"/>
      <c r="TLU5" s="19"/>
      <c r="TLV5" s="19"/>
      <c r="TLW5" s="19"/>
      <c r="TLX5" s="19"/>
      <c r="TLY5" s="19"/>
      <c r="TLZ5" s="19"/>
      <c r="TMA5" s="19"/>
      <c r="TMB5" s="19"/>
      <c r="TMC5" s="19"/>
      <c r="TMD5" s="19"/>
      <c r="TME5" s="19"/>
      <c r="TMF5" s="19"/>
      <c r="TMG5" s="19"/>
      <c r="TMH5" s="19"/>
      <c r="TMI5" s="19"/>
      <c r="TMJ5" s="19"/>
      <c r="TMK5" s="19"/>
      <c r="TML5" s="19"/>
      <c r="TMM5" s="19"/>
      <c r="TMN5" s="19"/>
      <c r="TMO5" s="19"/>
      <c r="TMP5" s="19"/>
      <c r="TMQ5" s="19"/>
      <c r="TMR5" s="19"/>
      <c r="TMS5" s="19"/>
      <c r="TMT5" s="19"/>
      <c r="TMU5" s="19"/>
      <c r="TMV5" s="19"/>
      <c r="TMW5" s="19"/>
      <c r="TMX5" s="19"/>
      <c r="TMY5" s="19"/>
      <c r="TMZ5" s="19"/>
      <c r="TNA5" s="19"/>
      <c r="TNB5" s="19"/>
      <c r="TNC5" s="19"/>
      <c r="TND5" s="19"/>
      <c r="TNE5" s="19"/>
      <c r="TNF5" s="19"/>
      <c r="TNG5" s="19"/>
      <c r="TNH5" s="19"/>
      <c r="TNI5" s="19"/>
      <c r="TNJ5" s="19"/>
      <c r="TNK5" s="19"/>
      <c r="TNL5" s="19"/>
      <c r="TNM5" s="19"/>
      <c r="TNN5" s="19"/>
      <c r="TNO5" s="19"/>
      <c r="TNP5" s="19"/>
      <c r="TNQ5" s="19"/>
      <c r="TNR5" s="19"/>
      <c r="TNS5" s="19"/>
      <c r="TNT5" s="19"/>
      <c r="TNU5" s="19"/>
      <c r="TNV5" s="19"/>
      <c r="TNW5" s="19"/>
      <c r="TNX5" s="19"/>
      <c r="TNY5" s="19"/>
      <c r="TNZ5" s="19"/>
      <c r="TOA5" s="19"/>
      <c r="TOB5" s="19"/>
      <c r="TOC5" s="19"/>
      <c r="TOD5" s="19"/>
      <c r="TOE5" s="19"/>
      <c r="TOF5" s="19"/>
      <c r="TOG5" s="19"/>
      <c r="TOH5" s="19"/>
      <c r="TOI5" s="19"/>
      <c r="TOJ5" s="19"/>
      <c r="TOK5" s="19"/>
      <c r="TOL5" s="19"/>
      <c r="TOM5" s="19"/>
      <c r="TON5" s="19"/>
      <c r="TOO5" s="19"/>
      <c r="TOP5" s="19"/>
      <c r="TOQ5" s="19"/>
      <c r="TOR5" s="19"/>
      <c r="TOS5" s="19"/>
      <c r="TOT5" s="19"/>
      <c r="TOU5" s="19"/>
      <c r="TOV5" s="19"/>
      <c r="TOW5" s="19"/>
      <c r="TOX5" s="19"/>
      <c r="TOY5" s="19"/>
      <c r="TOZ5" s="19"/>
      <c r="TPA5" s="19"/>
      <c r="TPB5" s="19"/>
      <c r="TPC5" s="19"/>
      <c r="TPD5" s="19"/>
      <c r="TPE5" s="19"/>
      <c r="TPF5" s="19"/>
      <c r="TPG5" s="19"/>
      <c r="TPH5" s="19"/>
      <c r="TPI5" s="19"/>
      <c r="TPJ5" s="19"/>
      <c r="TPK5" s="19"/>
      <c r="TPL5" s="19"/>
      <c r="TPM5" s="19"/>
      <c r="TPN5" s="19"/>
      <c r="TPO5" s="19"/>
      <c r="TPP5" s="19"/>
      <c r="TPQ5" s="19"/>
      <c r="TPR5" s="19"/>
      <c r="TPS5" s="19"/>
      <c r="TPT5" s="19"/>
      <c r="TPU5" s="19"/>
      <c r="TPV5" s="19"/>
      <c r="TPW5" s="19"/>
      <c r="TPX5" s="19"/>
      <c r="TPY5" s="19"/>
      <c r="TPZ5" s="19"/>
      <c r="TQA5" s="19"/>
      <c r="TQB5" s="19"/>
      <c r="TQC5" s="19"/>
      <c r="TQD5" s="19"/>
      <c r="TQE5" s="19"/>
      <c r="TQF5" s="19"/>
      <c r="TQG5" s="19"/>
      <c r="TQH5" s="19"/>
      <c r="TQI5" s="19"/>
      <c r="TQJ5" s="19"/>
      <c r="TQK5" s="19"/>
      <c r="TQL5" s="19"/>
      <c r="TQM5" s="19"/>
      <c r="TQN5" s="19"/>
      <c r="TQO5" s="19"/>
      <c r="TQP5" s="19"/>
      <c r="TQQ5" s="19"/>
      <c r="TQR5" s="19"/>
      <c r="TQS5" s="19"/>
      <c r="TQT5" s="19"/>
      <c r="TQU5" s="19"/>
      <c r="TQV5" s="19"/>
      <c r="TQW5" s="19"/>
      <c r="TQX5" s="19"/>
      <c r="TQY5" s="19"/>
      <c r="TQZ5" s="19"/>
      <c r="TRA5" s="19"/>
      <c r="TRB5" s="19"/>
      <c r="TRC5" s="19"/>
      <c r="TRD5" s="19"/>
      <c r="TRE5" s="19"/>
      <c r="TRF5" s="19"/>
      <c r="TRG5" s="19"/>
      <c r="TRH5" s="19"/>
      <c r="TRI5" s="19"/>
      <c r="TRJ5" s="19"/>
      <c r="TRK5" s="19"/>
      <c r="TRL5" s="19"/>
      <c r="TRM5" s="19"/>
      <c r="TRN5" s="19"/>
      <c r="TRO5" s="19"/>
      <c r="TRP5" s="19"/>
      <c r="TRQ5" s="19"/>
      <c r="TRR5" s="19"/>
      <c r="TRS5" s="19"/>
      <c r="TRT5" s="19"/>
      <c r="TRU5" s="19"/>
      <c r="TRV5" s="19"/>
      <c r="TRW5" s="19"/>
      <c r="TRX5" s="19"/>
      <c r="TRY5" s="19"/>
      <c r="TRZ5" s="19"/>
      <c r="TSA5" s="19"/>
      <c r="TSB5" s="19"/>
      <c r="TSC5" s="19"/>
      <c r="TSD5" s="19"/>
      <c r="TSE5" s="19"/>
      <c r="TSF5" s="19"/>
      <c r="TSG5" s="19"/>
      <c r="TSH5" s="19"/>
      <c r="TSI5" s="19"/>
      <c r="TSJ5" s="19"/>
      <c r="TSK5" s="19"/>
      <c r="TSL5" s="19"/>
      <c r="TSM5" s="19"/>
      <c r="TSN5" s="19"/>
      <c r="TSO5" s="19"/>
      <c r="TSP5" s="19"/>
      <c r="TSQ5" s="19"/>
      <c r="TSR5" s="19"/>
      <c r="TSS5" s="19"/>
      <c r="TST5" s="19"/>
      <c r="TSU5" s="19"/>
      <c r="TSV5" s="19"/>
      <c r="TSW5" s="19"/>
      <c r="TSX5" s="19"/>
      <c r="TSY5" s="19"/>
      <c r="TSZ5" s="19"/>
      <c r="TTA5" s="19"/>
      <c r="TTB5" s="19"/>
      <c r="TTC5" s="19"/>
      <c r="TTD5" s="19"/>
      <c r="TTE5" s="19"/>
      <c r="TTF5" s="19"/>
      <c r="TTG5" s="19"/>
      <c r="TTH5" s="19"/>
      <c r="TTI5" s="19"/>
      <c r="TTJ5" s="19"/>
      <c r="TTK5" s="19"/>
      <c r="TTL5" s="19"/>
      <c r="TTM5" s="19"/>
      <c r="TTN5" s="19"/>
      <c r="TTO5" s="19"/>
      <c r="TTP5" s="19"/>
      <c r="TTQ5" s="19"/>
      <c r="TTR5" s="19"/>
      <c r="TTS5" s="19"/>
      <c r="TTT5" s="19"/>
      <c r="TTU5" s="19"/>
      <c r="TTV5" s="19"/>
      <c r="TTW5" s="19"/>
      <c r="TTX5" s="19"/>
      <c r="TTY5" s="19"/>
      <c r="TTZ5" s="19"/>
      <c r="TUA5" s="19"/>
      <c r="TUB5" s="19"/>
      <c r="TUC5" s="19"/>
      <c r="TUD5" s="19"/>
      <c r="TUE5" s="19"/>
      <c r="TUF5" s="19"/>
      <c r="TUG5" s="19"/>
      <c r="TUH5" s="19"/>
      <c r="TUI5" s="19"/>
      <c r="TUJ5" s="19"/>
      <c r="TUK5" s="19"/>
      <c r="TUL5" s="19"/>
      <c r="TUM5" s="19"/>
      <c r="TUN5" s="19"/>
      <c r="TUO5" s="19"/>
      <c r="TUP5" s="19"/>
      <c r="TUQ5" s="19"/>
      <c r="TUR5" s="19"/>
      <c r="TUS5" s="19"/>
      <c r="TUT5" s="19"/>
      <c r="TUU5" s="19"/>
      <c r="TUV5" s="19"/>
      <c r="TUW5" s="19"/>
      <c r="TUX5" s="19"/>
      <c r="TUY5" s="19"/>
      <c r="TUZ5" s="19"/>
      <c r="TVA5" s="19"/>
      <c r="TVB5" s="19"/>
      <c r="TVC5" s="19"/>
      <c r="TVD5" s="19"/>
      <c r="TVE5" s="19"/>
      <c r="TVF5" s="19"/>
      <c r="TVG5" s="19"/>
      <c r="TVH5" s="19"/>
      <c r="TVI5" s="19"/>
      <c r="TVJ5" s="19"/>
      <c r="TVK5" s="19"/>
      <c r="TVL5" s="19"/>
      <c r="TVM5" s="19"/>
      <c r="TVN5" s="19"/>
      <c r="TVO5" s="19"/>
      <c r="TVP5" s="19"/>
      <c r="TVQ5" s="19"/>
      <c r="TVR5" s="19"/>
      <c r="TVS5" s="19"/>
      <c r="TVT5" s="19"/>
      <c r="TVU5" s="19"/>
      <c r="TVV5" s="19"/>
      <c r="TVW5" s="19"/>
      <c r="TVX5" s="19"/>
      <c r="TVY5" s="19"/>
      <c r="TVZ5" s="19"/>
      <c r="TWA5" s="19"/>
      <c r="TWB5" s="19"/>
      <c r="TWC5" s="19"/>
      <c r="TWD5" s="19"/>
      <c r="TWE5" s="19"/>
      <c r="TWF5" s="19"/>
      <c r="TWG5" s="19"/>
      <c r="TWH5" s="19"/>
      <c r="TWI5" s="19"/>
      <c r="TWJ5" s="19"/>
      <c r="TWK5" s="19"/>
      <c r="TWL5" s="19"/>
      <c r="TWM5" s="19"/>
      <c r="TWN5" s="19"/>
      <c r="TWO5" s="19"/>
      <c r="TWP5" s="19"/>
      <c r="TWQ5" s="19"/>
      <c r="TWR5" s="19"/>
      <c r="TWS5" s="19"/>
      <c r="TWT5" s="19"/>
      <c r="TWU5" s="19"/>
      <c r="TWV5" s="19"/>
      <c r="TWW5" s="19"/>
      <c r="TWX5" s="19"/>
      <c r="TWY5" s="19"/>
      <c r="TWZ5" s="19"/>
      <c r="TXA5" s="19"/>
      <c r="TXB5" s="19"/>
      <c r="TXC5" s="19"/>
      <c r="TXD5" s="19"/>
      <c r="TXE5" s="19"/>
      <c r="TXF5" s="19"/>
      <c r="TXG5" s="19"/>
      <c r="TXH5" s="19"/>
      <c r="TXI5" s="19"/>
      <c r="TXJ5" s="19"/>
      <c r="TXK5" s="19"/>
      <c r="TXL5" s="19"/>
      <c r="TXM5" s="19"/>
      <c r="TXN5" s="19"/>
      <c r="TXO5" s="19"/>
      <c r="TXP5" s="19"/>
      <c r="TXQ5" s="19"/>
      <c r="TXR5" s="19"/>
      <c r="TXS5" s="19"/>
      <c r="TXT5" s="19"/>
      <c r="TXU5" s="19"/>
      <c r="TXV5" s="19"/>
      <c r="TXW5" s="19"/>
      <c r="TXX5" s="19"/>
      <c r="TXY5" s="19"/>
      <c r="TXZ5" s="19"/>
      <c r="TYA5" s="19"/>
      <c r="TYB5" s="19"/>
      <c r="TYC5" s="19"/>
      <c r="TYD5" s="19"/>
      <c r="TYE5" s="19"/>
      <c r="TYF5" s="19"/>
      <c r="TYG5" s="19"/>
      <c r="TYH5" s="19"/>
      <c r="TYI5" s="19"/>
      <c r="TYJ5" s="19"/>
      <c r="TYK5" s="19"/>
      <c r="TYL5" s="19"/>
      <c r="TYM5" s="19"/>
      <c r="TYN5" s="19"/>
      <c r="TYO5" s="19"/>
      <c r="TYP5" s="19"/>
      <c r="TYQ5" s="19"/>
      <c r="TYR5" s="19"/>
      <c r="TYS5" s="19"/>
      <c r="TYT5" s="19"/>
      <c r="TYU5" s="19"/>
      <c r="TYV5" s="19"/>
      <c r="TYW5" s="19"/>
      <c r="TYX5" s="19"/>
      <c r="TYY5" s="19"/>
      <c r="TYZ5" s="19"/>
      <c r="TZA5" s="19"/>
      <c r="TZB5" s="19"/>
      <c r="TZC5" s="19"/>
      <c r="TZD5" s="19"/>
      <c r="TZE5" s="19"/>
      <c r="TZF5" s="19"/>
      <c r="TZG5" s="19"/>
      <c r="TZH5" s="19"/>
      <c r="TZI5" s="19"/>
      <c r="TZJ5" s="19"/>
      <c r="TZK5" s="19"/>
      <c r="TZL5" s="19"/>
      <c r="TZM5" s="19"/>
      <c r="TZN5" s="19"/>
      <c r="TZO5" s="19"/>
      <c r="TZP5" s="19"/>
      <c r="TZQ5" s="19"/>
      <c r="TZR5" s="19"/>
      <c r="TZS5" s="19"/>
      <c r="TZT5" s="19"/>
      <c r="TZU5" s="19"/>
      <c r="TZV5" s="19"/>
      <c r="TZW5" s="19"/>
      <c r="TZX5" s="19"/>
      <c r="TZY5" s="19"/>
      <c r="TZZ5" s="19"/>
      <c r="UAA5" s="19"/>
      <c r="UAB5" s="19"/>
      <c r="UAC5" s="19"/>
      <c r="UAD5" s="19"/>
      <c r="UAE5" s="19"/>
      <c r="UAF5" s="19"/>
      <c r="UAG5" s="19"/>
      <c r="UAH5" s="19"/>
      <c r="UAI5" s="19"/>
      <c r="UAJ5" s="19"/>
      <c r="UAK5" s="19"/>
      <c r="UAL5" s="19"/>
      <c r="UAM5" s="19"/>
      <c r="UAN5" s="19"/>
      <c r="UAO5" s="19"/>
      <c r="UAP5" s="19"/>
      <c r="UAQ5" s="19"/>
      <c r="UAR5" s="19"/>
      <c r="UAS5" s="19"/>
      <c r="UAT5" s="19"/>
      <c r="UAU5" s="19"/>
      <c r="UAV5" s="19"/>
      <c r="UAW5" s="19"/>
      <c r="UAX5" s="19"/>
      <c r="UAY5" s="19"/>
      <c r="UAZ5" s="19"/>
      <c r="UBA5" s="19"/>
      <c r="UBB5" s="19"/>
      <c r="UBC5" s="19"/>
      <c r="UBD5" s="19"/>
      <c r="UBE5" s="19"/>
      <c r="UBF5" s="19"/>
      <c r="UBG5" s="19"/>
      <c r="UBH5" s="19"/>
      <c r="UBI5" s="19"/>
      <c r="UBJ5" s="19"/>
      <c r="UBK5" s="19"/>
      <c r="UBL5" s="19"/>
      <c r="UBM5" s="19"/>
      <c r="UBN5" s="19"/>
      <c r="UBO5" s="19"/>
      <c r="UBP5" s="19"/>
      <c r="UBQ5" s="19"/>
      <c r="UBR5" s="19"/>
      <c r="UBS5" s="19"/>
      <c r="UBT5" s="19"/>
      <c r="UBU5" s="19"/>
      <c r="UBV5" s="19"/>
      <c r="UBW5" s="19"/>
      <c r="UBX5" s="19"/>
      <c r="UBY5" s="19"/>
      <c r="UBZ5" s="19"/>
      <c r="UCA5" s="19"/>
      <c r="UCB5" s="19"/>
      <c r="UCC5" s="19"/>
      <c r="UCD5" s="19"/>
      <c r="UCE5" s="19"/>
      <c r="UCF5" s="19"/>
      <c r="UCG5" s="19"/>
      <c r="UCH5" s="19"/>
      <c r="UCI5" s="19"/>
      <c r="UCJ5" s="19"/>
      <c r="UCK5" s="19"/>
      <c r="UCL5" s="19"/>
      <c r="UCM5" s="19"/>
      <c r="UCN5" s="19"/>
      <c r="UCO5" s="19"/>
      <c r="UCP5" s="19"/>
      <c r="UCQ5" s="19"/>
      <c r="UCR5" s="19"/>
      <c r="UCS5" s="19"/>
      <c r="UCT5" s="19"/>
      <c r="UCU5" s="19"/>
      <c r="UCV5" s="19"/>
      <c r="UCW5" s="19"/>
      <c r="UCX5" s="19"/>
      <c r="UCY5" s="19"/>
      <c r="UCZ5" s="19"/>
      <c r="UDA5" s="19"/>
      <c r="UDB5" s="19"/>
      <c r="UDC5" s="19"/>
      <c r="UDD5" s="19"/>
      <c r="UDE5" s="19"/>
      <c r="UDF5" s="19"/>
      <c r="UDG5" s="19"/>
      <c r="UDH5" s="19"/>
      <c r="UDI5" s="19"/>
      <c r="UDJ5" s="19"/>
      <c r="UDK5" s="19"/>
      <c r="UDL5" s="19"/>
      <c r="UDM5" s="19"/>
      <c r="UDN5" s="19"/>
      <c r="UDO5" s="19"/>
      <c r="UDP5" s="19"/>
      <c r="UDQ5" s="19"/>
      <c r="UDR5" s="19"/>
      <c r="UDS5" s="19"/>
      <c r="UDT5" s="19"/>
      <c r="UDU5" s="19"/>
      <c r="UDV5" s="19"/>
      <c r="UDW5" s="19"/>
      <c r="UDX5" s="19"/>
      <c r="UDY5" s="19"/>
      <c r="UDZ5" s="19"/>
      <c r="UEA5" s="19"/>
      <c r="UEB5" s="19"/>
      <c r="UEC5" s="19"/>
      <c r="UED5" s="19"/>
      <c r="UEE5" s="19"/>
      <c r="UEF5" s="19"/>
      <c r="UEG5" s="19"/>
      <c r="UEH5" s="19"/>
      <c r="UEI5" s="19"/>
      <c r="UEJ5" s="19"/>
      <c r="UEK5" s="19"/>
      <c r="UEL5" s="19"/>
      <c r="UEM5" s="19"/>
      <c r="UEN5" s="19"/>
      <c r="UEO5" s="19"/>
      <c r="UEP5" s="19"/>
      <c r="UEQ5" s="19"/>
      <c r="UER5" s="19"/>
      <c r="UES5" s="19"/>
      <c r="UET5" s="19"/>
      <c r="UEU5" s="19"/>
      <c r="UEV5" s="19"/>
      <c r="UEW5" s="19"/>
      <c r="UEX5" s="19"/>
      <c r="UEY5" s="19"/>
      <c r="UEZ5" s="19"/>
      <c r="UFA5" s="19"/>
      <c r="UFB5" s="19"/>
      <c r="UFC5" s="19"/>
      <c r="UFD5" s="19"/>
      <c r="UFE5" s="19"/>
      <c r="UFF5" s="19"/>
      <c r="UFG5" s="19"/>
      <c r="UFH5" s="19"/>
      <c r="UFI5" s="19"/>
      <c r="UFJ5" s="19"/>
      <c r="UFK5" s="19"/>
      <c r="UFL5" s="19"/>
      <c r="UFM5" s="19"/>
      <c r="UFN5" s="19"/>
      <c r="UFO5" s="19"/>
      <c r="UFP5" s="19"/>
      <c r="UFQ5" s="19"/>
      <c r="UFR5" s="19"/>
      <c r="UFS5" s="19"/>
      <c r="UFT5" s="19"/>
      <c r="UFU5" s="19"/>
      <c r="UFV5" s="19"/>
      <c r="UFW5" s="19"/>
      <c r="UFX5" s="19"/>
      <c r="UFY5" s="19"/>
      <c r="UFZ5" s="19"/>
      <c r="UGA5" s="19"/>
      <c r="UGB5" s="19"/>
      <c r="UGC5" s="19"/>
      <c r="UGD5" s="19"/>
      <c r="UGE5" s="19"/>
      <c r="UGF5" s="19"/>
      <c r="UGG5" s="19"/>
      <c r="UGH5" s="19"/>
      <c r="UGI5" s="19"/>
      <c r="UGJ5" s="19"/>
      <c r="UGK5" s="19"/>
      <c r="UGL5" s="19"/>
      <c r="UGM5" s="19"/>
      <c r="UGN5" s="19"/>
      <c r="UGO5" s="19"/>
      <c r="UGP5" s="19"/>
      <c r="UGQ5" s="19"/>
      <c r="UGR5" s="19"/>
      <c r="UGS5" s="19"/>
      <c r="UGT5" s="19"/>
      <c r="UGU5" s="19"/>
      <c r="UGV5" s="19"/>
      <c r="UGW5" s="19"/>
      <c r="UGX5" s="19"/>
      <c r="UGY5" s="19"/>
      <c r="UGZ5" s="19"/>
      <c r="UHA5" s="19"/>
      <c r="UHB5" s="19"/>
      <c r="UHC5" s="19"/>
      <c r="UHD5" s="19"/>
      <c r="UHE5" s="19"/>
      <c r="UHF5" s="19"/>
      <c r="UHG5" s="19"/>
      <c r="UHH5" s="19"/>
      <c r="UHI5" s="19"/>
      <c r="UHJ5" s="19"/>
      <c r="UHK5" s="19"/>
      <c r="UHL5" s="19"/>
      <c r="UHM5" s="19"/>
      <c r="UHN5" s="19"/>
      <c r="UHO5" s="19"/>
      <c r="UHP5" s="19"/>
      <c r="UHQ5" s="19"/>
      <c r="UHR5" s="19"/>
      <c r="UHS5" s="19"/>
      <c r="UHT5" s="19"/>
      <c r="UHU5" s="19"/>
      <c r="UHV5" s="19"/>
      <c r="UHW5" s="19"/>
      <c r="UHX5" s="19"/>
      <c r="UHY5" s="19"/>
      <c r="UHZ5" s="19"/>
      <c r="UIA5" s="19"/>
      <c r="UIB5" s="19"/>
      <c r="UIC5" s="19"/>
      <c r="UID5" s="19"/>
      <c r="UIE5" s="19"/>
      <c r="UIF5" s="19"/>
      <c r="UIG5" s="19"/>
      <c r="UIH5" s="19"/>
      <c r="UII5" s="19"/>
      <c r="UIJ5" s="19"/>
      <c r="UIK5" s="19"/>
      <c r="UIL5" s="19"/>
      <c r="UIM5" s="19"/>
      <c r="UIN5" s="19"/>
      <c r="UIO5" s="19"/>
      <c r="UIP5" s="19"/>
      <c r="UIQ5" s="19"/>
      <c r="UIR5" s="19"/>
      <c r="UIS5" s="19"/>
      <c r="UIT5" s="19"/>
      <c r="UIU5" s="19"/>
      <c r="UIV5" s="19"/>
      <c r="UIW5" s="19"/>
      <c r="UIX5" s="19"/>
      <c r="UIY5" s="19"/>
      <c r="UIZ5" s="19"/>
      <c r="UJA5" s="19"/>
      <c r="UJB5" s="19"/>
      <c r="UJC5" s="19"/>
      <c r="UJD5" s="19"/>
      <c r="UJE5" s="19"/>
      <c r="UJF5" s="19"/>
      <c r="UJG5" s="19"/>
      <c r="UJH5" s="19"/>
      <c r="UJI5" s="19"/>
      <c r="UJJ5" s="19"/>
      <c r="UJK5" s="19"/>
      <c r="UJL5" s="19"/>
      <c r="UJM5" s="19"/>
      <c r="UJN5" s="19"/>
      <c r="UJO5" s="19"/>
      <c r="UJP5" s="19"/>
      <c r="UJQ5" s="19"/>
      <c r="UJR5" s="19"/>
      <c r="UJS5" s="19"/>
      <c r="UJT5" s="19"/>
      <c r="UJU5" s="19"/>
      <c r="UJV5" s="19"/>
      <c r="UJW5" s="19"/>
      <c r="UJX5" s="19"/>
      <c r="UJY5" s="19"/>
      <c r="UJZ5" s="19"/>
      <c r="UKA5" s="19"/>
      <c r="UKB5" s="19"/>
      <c r="UKC5" s="19"/>
      <c r="UKD5" s="19"/>
      <c r="UKE5" s="19"/>
      <c r="UKF5" s="19"/>
      <c r="UKG5" s="19"/>
      <c r="UKH5" s="19"/>
      <c r="UKI5" s="19"/>
      <c r="UKJ5" s="19"/>
      <c r="UKK5" s="19"/>
      <c r="UKL5" s="19"/>
      <c r="UKM5" s="19"/>
      <c r="UKN5" s="19"/>
      <c r="UKO5" s="19"/>
      <c r="UKP5" s="19"/>
      <c r="UKQ5" s="19"/>
      <c r="UKR5" s="19"/>
      <c r="UKS5" s="19"/>
      <c r="UKT5" s="19"/>
      <c r="UKU5" s="19"/>
      <c r="UKV5" s="19"/>
      <c r="UKW5" s="19"/>
      <c r="UKX5" s="19"/>
      <c r="UKY5" s="19"/>
      <c r="UKZ5" s="19"/>
      <c r="ULA5" s="19"/>
      <c r="ULB5" s="19"/>
      <c r="ULC5" s="19"/>
      <c r="ULD5" s="19"/>
      <c r="ULE5" s="19"/>
      <c r="ULF5" s="19"/>
      <c r="ULG5" s="19"/>
      <c r="ULH5" s="19"/>
      <c r="ULI5" s="19"/>
      <c r="ULJ5" s="19"/>
      <c r="ULK5" s="19"/>
      <c r="ULL5" s="19"/>
      <c r="ULM5" s="19"/>
      <c r="ULN5" s="19"/>
      <c r="ULO5" s="19"/>
      <c r="ULP5" s="19"/>
      <c r="ULQ5" s="19"/>
      <c r="ULR5" s="19"/>
      <c r="ULS5" s="19"/>
      <c r="ULT5" s="19"/>
      <c r="ULU5" s="19"/>
      <c r="ULV5" s="19"/>
      <c r="ULW5" s="19"/>
      <c r="ULX5" s="19"/>
      <c r="ULY5" s="19"/>
      <c r="ULZ5" s="19"/>
      <c r="UMA5" s="19"/>
      <c r="UMB5" s="19"/>
      <c r="UMC5" s="19"/>
      <c r="UMD5" s="19"/>
      <c r="UME5" s="19"/>
      <c r="UMF5" s="19"/>
      <c r="UMG5" s="19"/>
      <c r="UMH5" s="19"/>
      <c r="UMI5" s="19"/>
      <c r="UMJ5" s="19"/>
      <c r="UMK5" s="19"/>
      <c r="UML5" s="19"/>
      <c r="UMM5" s="19"/>
      <c r="UMN5" s="19"/>
      <c r="UMO5" s="19"/>
      <c r="UMP5" s="19"/>
      <c r="UMQ5" s="19"/>
      <c r="UMR5" s="19"/>
      <c r="UMS5" s="19"/>
      <c r="UMT5" s="19"/>
      <c r="UMU5" s="19"/>
      <c r="UMV5" s="19"/>
      <c r="UMW5" s="19"/>
      <c r="UMX5" s="19"/>
      <c r="UMY5" s="19"/>
      <c r="UMZ5" s="19"/>
      <c r="UNA5" s="19"/>
      <c r="UNB5" s="19"/>
      <c r="UNC5" s="19"/>
      <c r="UND5" s="19"/>
      <c r="UNE5" s="19"/>
      <c r="UNF5" s="19"/>
      <c r="UNG5" s="19"/>
      <c r="UNH5" s="19"/>
      <c r="UNI5" s="19"/>
      <c r="UNJ5" s="19"/>
      <c r="UNK5" s="19"/>
      <c r="UNL5" s="19"/>
      <c r="UNM5" s="19"/>
      <c r="UNN5" s="19"/>
      <c r="UNO5" s="19"/>
      <c r="UNP5" s="19"/>
      <c r="UNQ5" s="19"/>
      <c r="UNR5" s="19"/>
      <c r="UNS5" s="19"/>
      <c r="UNT5" s="19"/>
      <c r="UNU5" s="19"/>
      <c r="UNV5" s="19"/>
      <c r="UNW5" s="19"/>
      <c r="UNX5" s="19"/>
      <c r="UNY5" s="19"/>
      <c r="UNZ5" s="19"/>
      <c r="UOA5" s="19"/>
      <c r="UOB5" s="19"/>
      <c r="UOC5" s="19"/>
      <c r="UOD5" s="19"/>
      <c r="UOE5" s="19"/>
      <c r="UOF5" s="19"/>
      <c r="UOG5" s="19"/>
      <c r="UOH5" s="19"/>
      <c r="UOI5" s="19"/>
      <c r="UOJ5" s="19"/>
      <c r="UOK5" s="19"/>
      <c r="UOL5" s="19"/>
      <c r="UOM5" s="19"/>
      <c r="UON5" s="19"/>
      <c r="UOO5" s="19"/>
      <c r="UOP5" s="19"/>
      <c r="UOQ5" s="19"/>
      <c r="UOR5" s="19"/>
      <c r="UOS5" s="19"/>
      <c r="UOT5" s="19"/>
      <c r="UOU5" s="19"/>
      <c r="UOV5" s="19"/>
      <c r="UOW5" s="19"/>
      <c r="UOX5" s="19"/>
      <c r="UOY5" s="19"/>
      <c r="UOZ5" s="19"/>
      <c r="UPA5" s="19"/>
      <c r="UPB5" s="19"/>
      <c r="UPC5" s="19"/>
      <c r="UPD5" s="19"/>
      <c r="UPE5" s="19"/>
      <c r="UPF5" s="19"/>
      <c r="UPG5" s="19"/>
      <c r="UPH5" s="19"/>
      <c r="UPI5" s="19"/>
      <c r="UPJ5" s="19"/>
      <c r="UPK5" s="19"/>
      <c r="UPL5" s="19"/>
      <c r="UPM5" s="19"/>
      <c r="UPN5" s="19"/>
      <c r="UPO5" s="19"/>
      <c r="UPP5" s="19"/>
      <c r="UPQ5" s="19"/>
      <c r="UPR5" s="19"/>
      <c r="UPS5" s="19"/>
      <c r="UPT5" s="19"/>
      <c r="UPU5" s="19"/>
      <c r="UPV5" s="19"/>
      <c r="UPW5" s="19"/>
      <c r="UPX5" s="19"/>
      <c r="UPY5" s="19"/>
      <c r="UPZ5" s="19"/>
      <c r="UQA5" s="19"/>
      <c r="UQB5" s="19"/>
      <c r="UQC5" s="19"/>
      <c r="UQD5" s="19"/>
      <c r="UQE5" s="19"/>
      <c r="UQF5" s="19"/>
      <c r="UQG5" s="19"/>
      <c r="UQH5" s="19"/>
      <c r="UQI5" s="19"/>
      <c r="UQJ5" s="19"/>
      <c r="UQK5" s="19"/>
      <c r="UQL5" s="19"/>
      <c r="UQM5" s="19"/>
      <c r="UQN5" s="19"/>
      <c r="UQO5" s="19"/>
      <c r="UQP5" s="19"/>
      <c r="UQQ5" s="19"/>
      <c r="UQR5" s="19"/>
      <c r="UQS5" s="19"/>
      <c r="UQT5" s="19"/>
      <c r="UQU5" s="19"/>
      <c r="UQV5" s="19"/>
      <c r="UQW5" s="19"/>
      <c r="UQX5" s="19"/>
      <c r="UQY5" s="19"/>
      <c r="UQZ5" s="19"/>
      <c r="URA5" s="19"/>
      <c r="URB5" s="19"/>
      <c r="URC5" s="19"/>
      <c r="URD5" s="19"/>
      <c r="URE5" s="19"/>
      <c r="URF5" s="19"/>
      <c r="URG5" s="19"/>
      <c r="URH5" s="19"/>
      <c r="URI5" s="19"/>
      <c r="URJ5" s="19"/>
      <c r="URK5" s="19"/>
      <c r="URL5" s="19"/>
      <c r="URM5" s="19"/>
      <c r="URN5" s="19"/>
      <c r="URO5" s="19"/>
      <c r="URP5" s="19"/>
      <c r="URQ5" s="19"/>
      <c r="URR5" s="19"/>
      <c r="URS5" s="19"/>
      <c r="URT5" s="19"/>
      <c r="URU5" s="19"/>
      <c r="URV5" s="19"/>
      <c r="URW5" s="19"/>
      <c r="URX5" s="19"/>
      <c r="URY5" s="19"/>
      <c r="URZ5" s="19"/>
      <c r="USA5" s="19"/>
      <c r="USB5" s="19"/>
      <c r="USC5" s="19"/>
      <c r="USD5" s="19"/>
      <c r="USE5" s="19"/>
      <c r="USF5" s="19"/>
      <c r="USG5" s="19"/>
      <c r="USH5" s="19"/>
      <c r="USI5" s="19"/>
      <c r="USJ5" s="19"/>
      <c r="USK5" s="19"/>
      <c r="USL5" s="19"/>
      <c r="USM5" s="19"/>
      <c r="USN5" s="19"/>
      <c r="USO5" s="19"/>
      <c r="USP5" s="19"/>
      <c r="USQ5" s="19"/>
      <c r="USR5" s="19"/>
      <c r="USS5" s="19"/>
      <c r="UST5" s="19"/>
      <c r="USU5" s="19"/>
      <c r="USV5" s="19"/>
      <c r="USW5" s="19"/>
      <c r="USX5" s="19"/>
      <c r="USY5" s="19"/>
      <c r="USZ5" s="19"/>
      <c r="UTA5" s="19"/>
      <c r="UTB5" s="19"/>
      <c r="UTC5" s="19"/>
      <c r="UTD5" s="19"/>
      <c r="UTE5" s="19"/>
      <c r="UTF5" s="19"/>
      <c r="UTG5" s="19"/>
      <c r="UTH5" s="19"/>
      <c r="UTI5" s="19"/>
      <c r="UTJ5" s="19"/>
      <c r="UTK5" s="19"/>
      <c r="UTL5" s="19"/>
      <c r="UTM5" s="19"/>
      <c r="UTN5" s="19"/>
      <c r="UTO5" s="19"/>
      <c r="UTP5" s="19"/>
      <c r="UTQ5" s="19"/>
      <c r="UTR5" s="19"/>
      <c r="UTS5" s="19"/>
      <c r="UTT5" s="19"/>
      <c r="UTU5" s="19"/>
      <c r="UTV5" s="19"/>
      <c r="UTW5" s="19"/>
      <c r="UTX5" s="19"/>
      <c r="UTY5" s="19"/>
      <c r="UTZ5" s="19"/>
      <c r="UUA5" s="19"/>
      <c r="UUB5" s="19"/>
      <c r="UUC5" s="19"/>
      <c r="UUD5" s="19"/>
      <c r="UUE5" s="19"/>
      <c r="UUF5" s="19"/>
      <c r="UUG5" s="19"/>
      <c r="UUH5" s="19"/>
      <c r="UUI5" s="19"/>
      <c r="UUJ5" s="19"/>
      <c r="UUK5" s="19"/>
      <c r="UUL5" s="19"/>
      <c r="UUM5" s="19"/>
      <c r="UUN5" s="19"/>
      <c r="UUO5" s="19"/>
      <c r="UUP5" s="19"/>
      <c r="UUQ5" s="19"/>
      <c r="UUR5" s="19"/>
      <c r="UUS5" s="19"/>
      <c r="UUT5" s="19"/>
      <c r="UUU5" s="19"/>
      <c r="UUV5" s="19"/>
      <c r="UUW5" s="19"/>
      <c r="UUX5" s="19"/>
      <c r="UUY5" s="19"/>
      <c r="UUZ5" s="19"/>
      <c r="UVA5" s="19"/>
      <c r="UVB5" s="19"/>
      <c r="UVC5" s="19"/>
      <c r="UVD5" s="19"/>
      <c r="UVE5" s="19"/>
      <c r="UVF5" s="19"/>
      <c r="UVG5" s="19"/>
      <c r="UVH5" s="19"/>
      <c r="UVI5" s="19"/>
      <c r="UVJ5" s="19"/>
      <c r="UVK5" s="19"/>
      <c r="UVL5" s="19"/>
      <c r="UVM5" s="19"/>
      <c r="UVN5" s="19"/>
      <c r="UVO5" s="19"/>
      <c r="UVP5" s="19"/>
      <c r="UVQ5" s="19"/>
      <c r="UVR5" s="19"/>
      <c r="UVS5" s="19"/>
      <c r="UVT5" s="19"/>
      <c r="UVU5" s="19"/>
      <c r="UVV5" s="19"/>
      <c r="UVW5" s="19"/>
      <c r="UVX5" s="19"/>
      <c r="UVY5" s="19"/>
      <c r="UVZ5" s="19"/>
      <c r="UWA5" s="19"/>
      <c r="UWB5" s="19"/>
      <c r="UWC5" s="19"/>
      <c r="UWD5" s="19"/>
      <c r="UWE5" s="19"/>
      <c r="UWF5" s="19"/>
      <c r="UWG5" s="19"/>
      <c r="UWH5" s="19"/>
      <c r="UWI5" s="19"/>
      <c r="UWJ5" s="19"/>
      <c r="UWK5" s="19"/>
      <c r="UWL5" s="19"/>
      <c r="UWM5" s="19"/>
      <c r="UWN5" s="19"/>
      <c r="UWO5" s="19"/>
      <c r="UWP5" s="19"/>
      <c r="UWQ5" s="19"/>
      <c r="UWR5" s="19"/>
      <c r="UWS5" s="19"/>
      <c r="UWT5" s="19"/>
      <c r="UWU5" s="19"/>
      <c r="UWV5" s="19"/>
      <c r="UWW5" s="19"/>
      <c r="UWX5" s="19"/>
      <c r="UWY5" s="19"/>
      <c r="UWZ5" s="19"/>
      <c r="UXA5" s="19"/>
      <c r="UXB5" s="19"/>
      <c r="UXC5" s="19"/>
      <c r="UXD5" s="19"/>
      <c r="UXE5" s="19"/>
      <c r="UXF5" s="19"/>
      <c r="UXG5" s="19"/>
      <c r="UXH5" s="19"/>
      <c r="UXI5" s="19"/>
      <c r="UXJ5" s="19"/>
      <c r="UXK5" s="19"/>
      <c r="UXL5" s="19"/>
      <c r="UXM5" s="19"/>
      <c r="UXN5" s="19"/>
      <c r="UXO5" s="19"/>
      <c r="UXP5" s="19"/>
      <c r="UXQ5" s="19"/>
      <c r="UXR5" s="19"/>
      <c r="UXS5" s="19"/>
      <c r="UXT5" s="19"/>
      <c r="UXU5" s="19"/>
      <c r="UXV5" s="19"/>
      <c r="UXW5" s="19"/>
      <c r="UXX5" s="19"/>
      <c r="UXY5" s="19"/>
      <c r="UXZ5" s="19"/>
      <c r="UYA5" s="19"/>
      <c r="UYB5" s="19"/>
      <c r="UYC5" s="19"/>
      <c r="UYD5" s="19"/>
      <c r="UYE5" s="19"/>
      <c r="UYF5" s="19"/>
      <c r="UYG5" s="19"/>
      <c r="UYH5" s="19"/>
      <c r="UYI5" s="19"/>
      <c r="UYJ5" s="19"/>
      <c r="UYK5" s="19"/>
      <c r="UYL5" s="19"/>
      <c r="UYM5" s="19"/>
      <c r="UYN5" s="19"/>
      <c r="UYO5" s="19"/>
      <c r="UYP5" s="19"/>
      <c r="UYQ5" s="19"/>
      <c r="UYR5" s="19"/>
      <c r="UYS5" s="19"/>
      <c r="UYT5" s="19"/>
      <c r="UYU5" s="19"/>
      <c r="UYV5" s="19"/>
      <c r="UYW5" s="19"/>
      <c r="UYX5" s="19"/>
      <c r="UYY5" s="19"/>
      <c r="UYZ5" s="19"/>
      <c r="UZA5" s="19"/>
      <c r="UZB5" s="19"/>
      <c r="UZC5" s="19"/>
      <c r="UZD5" s="19"/>
      <c r="UZE5" s="19"/>
      <c r="UZF5" s="19"/>
      <c r="UZG5" s="19"/>
      <c r="UZH5" s="19"/>
      <c r="UZI5" s="19"/>
      <c r="UZJ5" s="19"/>
      <c r="UZK5" s="19"/>
      <c r="UZL5" s="19"/>
      <c r="UZM5" s="19"/>
      <c r="UZN5" s="19"/>
      <c r="UZO5" s="19"/>
      <c r="UZP5" s="19"/>
      <c r="UZQ5" s="19"/>
      <c r="UZR5" s="19"/>
      <c r="UZS5" s="19"/>
      <c r="UZT5" s="19"/>
      <c r="UZU5" s="19"/>
      <c r="UZV5" s="19"/>
      <c r="UZW5" s="19"/>
      <c r="UZX5" s="19"/>
      <c r="UZY5" s="19"/>
      <c r="UZZ5" s="19"/>
      <c r="VAA5" s="19"/>
      <c r="VAB5" s="19"/>
      <c r="VAC5" s="19"/>
      <c r="VAD5" s="19"/>
      <c r="VAE5" s="19"/>
      <c r="VAF5" s="19"/>
      <c r="VAG5" s="19"/>
      <c r="VAH5" s="19"/>
      <c r="VAI5" s="19"/>
      <c r="VAJ5" s="19"/>
      <c r="VAK5" s="19"/>
      <c r="VAL5" s="19"/>
      <c r="VAM5" s="19"/>
      <c r="VAN5" s="19"/>
      <c r="VAO5" s="19"/>
      <c r="VAP5" s="19"/>
      <c r="VAQ5" s="19"/>
      <c r="VAR5" s="19"/>
      <c r="VAS5" s="19"/>
      <c r="VAT5" s="19"/>
      <c r="VAU5" s="19"/>
      <c r="VAV5" s="19"/>
      <c r="VAW5" s="19"/>
      <c r="VAX5" s="19"/>
      <c r="VAY5" s="19"/>
      <c r="VAZ5" s="19"/>
      <c r="VBA5" s="19"/>
      <c r="VBB5" s="19"/>
      <c r="VBC5" s="19"/>
      <c r="VBD5" s="19"/>
      <c r="VBE5" s="19"/>
      <c r="VBF5" s="19"/>
      <c r="VBG5" s="19"/>
      <c r="VBH5" s="19"/>
      <c r="VBI5" s="19"/>
      <c r="VBJ5" s="19"/>
      <c r="VBK5" s="19"/>
      <c r="VBL5" s="19"/>
      <c r="VBM5" s="19"/>
      <c r="VBN5" s="19"/>
      <c r="VBO5" s="19"/>
      <c r="VBP5" s="19"/>
      <c r="VBQ5" s="19"/>
      <c r="VBR5" s="19"/>
      <c r="VBS5" s="19"/>
      <c r="VBT5" s="19"/>
      <c r="VBU5" s="19"/>
      <c r="VBV5" s="19"/>
      <c r="VBW5" s="19"/>
      <c r="VBX5" s="19"/>
      <c r="VBY5" s="19"/>
      <c r="VBZ5" s="19"/>
      <c r="VCA5" s="19"/>
      <c r="VCB5" s="19"/>
      <c r="VCC5" s="19"/>
      <c r="VCD5" s="19"/>
      <c r="VCE5" s="19"/>
      <c r="VCF5" s="19"/>
      <c r="VCG5" s="19"/>
      <c r="VCH5" s="19"/>
      <c r="VCI5" s="19"/>
      <c r="VCJ5" s="19"/>
      <c r="VCK5" s="19"/>
      <c r="VCL5" s="19"/>
      <c r="VCM5" s="19"/>
      <c r="VCN5" s="19"/>
      <c r="VCO5" s="19"/>
      <c r="VCP5" s="19"/>
      <c r="VCQ5" s="19"/>
      <c r="VCR5" s="19"/>
      <c r="VCS5" s="19"/>
      <c r="VCT5" s="19"/>
      <c r="VCU5" s="19"/>
      <c r="VCV5" s="19"/>
      <c r="VCW5" s="19"/>
      <c r="VCX5" s="19"/>
      <c r="VCY5" s="19"/>
      <c r="VCZ5" s="19"/>
      <c r="VDA5" s="19"/>
      <c r="VDB5" s="19"/>
      <c r="VDC5" s="19"/>
      <c r="VDD5" s="19"/>
      <c r="VDE5" s="19"/>
      <c r="VDF5" s="19"/>
      <c r="VDG5" s="19"/>
      <c r="VDH5" s="19"/>
      <c r="VDI5" s="19"/>
      <c r="VDJ5" s="19"/>
      <c r="VDK5" s="19"/>
      <c r="VDL5" s="19"/>
      <c r="VDM5" s="19"/>
      <c r="VDN5" s="19"/>
      <c r="VDO5" s="19"/>
      <c r="VDP5" s="19"/>
      <c r="VDQ5" s="19"/>
      <c r="VDR5" s="19"/>
      <c r="VDS5" s="19"/>
      <c r="VDT5" s="19"/>
      <c r="VDU5" s="19"/>
      <c r="VDV5" s="19"/>
      <c r="VDW5" s="19"/>
      <c r="VDX5" s="19"/>
      <c r="VDY5" s="19"/>
      <c r="VDZ5" s="19"/>
      <c r="VEA5" s="19"/>
      <c r="VEB5" s="19"/>
      <c r="VEC5" s="19"/>
      <c r="VED5" s="19"/>
      <c r="VEE5" s="19"/>
      <c r="VEF5" s="19"/>
      <c r="VEG5" s="19"/>
      <c r="VEH5" s="19"/>
      <c r="VEI5" s="19"/>
      <c r="VEJ5" s="19"/>
      <c r="VEK5" s="19"/>
      <c r="VEL5" s="19"/>
      <c r="VEM5" s="19"/>
      <c r="VEN5" s="19"/>
      <c r="VEO5" s="19"/>
      <c r="VEP5" s="19"/>
      <c r="VEQ5" s="19"/>
      <c r="VER5" s="19"/>
      <c r="VES5" s="19"/>
      <c r="VET5" s="19"/>
      <c r="VEU5" s="19"/>
      <c r="VEV5" s="19"/>
      <c r="VEW5" s="19"/>
      <c r="VEX5" s="19"/>
      <c r="VEY5" s="19"/>
      <c r="VEZ5" s="19"/>
      <c r="VFA5" s="19"/>
      <c r="VFB5" s="19"/>
      <c r="VFC5" s="19"/>
      <c r="VFD5" s="19"/>
      <c r="VFE5" s="19"/>
      <c r="VFF5" s="19"/>
      <c r="VFG5" s="19"/>
      <c r="VFH5" s="19"/>
      <c r="VFI5" s="19"/>
      <c r="VFJ5" s="19"/>
      <c r="VFK5" s="19"/>
      <c r="VFL5" s="19"/>
      <c r="VFM5" s="19"/>
      <c r="VFN5" s="19"/>
      <c r="VFO5" s="19"/>
      <c r="VFP5" s="19"/>
      <c r="VFQ5" s="19"/>
      <c r="VFR5" s="19"/>
      <c r="VFS5" s="19"/>
      <c r="VFT5" s="19"/>
      <c r="VFU5" s="19"/>
      <c r="VFV5" s="19"/>
      <c r="VFW5" s="19"/>
      <c r="VFX5" s="19"/>
      <c r="VFY5" s="19"/>
      <c r="VFZ5" s="19"/>
      <c r="VGA5" s="19"/>
      <c r="VGB5" s="19"/>
      <c r="VGC5" s="19"/>
      <c r="VGD5" s="19"/>
      <c r="VGE5" s="19"/>
      <c r="VGF5" s="19"/>
      <c r="VGG5" s="19"/>
      <c r="VGH5" s="19"/>
      <c r="VGI5" s="19"/>
      <c r="VGJ5" s="19"/>
      <c r="VGK5" s="19"/>
      <c r="VGL5" s="19"/>
      <c r="VGM5" s="19"/>
      <c r="VGN5" s="19"/>
      <c r="VGO5" s="19"/>
      <c r="VGP5" s="19"/>
      <c r="VGQ5" s="19"/>
      <c r="VGR5" s="19"/>
      <c r="VGS5" s="19"/>
      <c r="VGT5" s="19"/>
      <c r="VGU5" s="19"/>
      <c r="VGV5" s="19"/>
      <c r="VGW5" s="19"/>
      <c r="VGX5" s="19"/>
      <c r="VGY5" s="19"/>
      <c r="VGZ5" s="19"/>
      <c r="VHA5" s="19"/>
      <c r="VHB5" s="19"/>
      <c r="VHC5" s="19"/>
      <c r="VHD5" s="19"/>
      <c r="VHE5" s="19"/>
      <c r="VHF5" s="19"/>
      <c r="VHG5" s="19"/>
      <c r="VHH5" s="19"/>
      <c r="VHI5" s="19"/>
      <c r="VHJ5" s="19"/>
      <c r="VHK5" s="19"/>
      <c r="VHL5" s="19"/>
      <c r="VHM5" s="19"/>
      <c r="VHN5" s="19"/>
      <c r="VHO5" s="19"/>
      <c r="VHP5" s="19"/>
      <c r="VHQ5" s="19"/>
      <c r="VHR5" s="19"/>
      <c r="VHS5" s="19"/>
      <c r="VHT5" s="19"/>
      <c r="VHU5" s="19"/>
      <c r="VHV5" s="19"/>
      <c r="VHW5" s="19"/>
      <c r="VHX5" s="19"/>
      <c r="VHY5" s="19"/>
      <c r="VHZ5" s="19"/>
      <c r="VIA5" s="19"/>
      <c r="VIB5" s="19"/>
      <c r="VIC5" s="19"/>
      <c r="VID5" s="19"/>
      <c r="VIE5" s="19"/>
      <c r="VIF5" s="19"/>
      <c r="VIG5" s="19"/>
      <c r="VIH5" s="19"/>
      <c r="VII5" s="19"/>
      <c r="VIJ5" s="19"/>
      <c r="VIK5" s="19"/>
      <c r="VIL5" s="19"/>
      <c r="VIM5" s="19"/>
      <c r="VIN5" s="19"/>
      <c r="VIO5" s="19"/>
      <c r="VIP5" s="19"/>
      <c r="VIQ5" s="19"/>
      <c r="VIR5" s="19"/>
      <c r="VIS5" s="19"/>
      <c r="VIT5" s="19"/>
      <c r="VIU5" s="19"/>
      <c r="VIV5" s="19"/>
      <c r="VIW5" s="19"/>
      <c r="VIX5" s="19"/>
      <c r="VIY5" s="19"/>
      <c r="VIZ5" s="19"/>
      <c r="VJA5" s="19"/>
      <c r="VJB5" s="19"/>
      <c r="VJC5" s="19"/>
      <c r="VJD5" s="19"/>
      <c r="VJE5" s="19"/>
      <c r="VJF5" s="19"/>
      <c r="VJG5" s="19"/>
      <c r="VJH5" s="19"/>
      <c r="VJI5" s="19"/>
      <c r="VJJ5" s="19"/>
      <c r="VJK5" s="19"/>
      <c r="VJL5" s="19"/>
      <c r="VJM5" s="19"/>
      <c r="VJN5" s="19"/>
      <c r="VJO5" s="19"/>
      <c r="VJP5" s="19"/>
      <c r="VJQ5" s="19"/>
      <c r="VJR5" s="19"/>
      <c r="VJS5" s="19"/>
      <c r="VJT5" s="19"/>
      <c r="VJU5" s="19"/>
      <c r="VJV5" s="19"/>
      <c r="VJW5" s="19"/>
      <c r="VJX5" s="19"/>
      <c r="VJY5" s="19"/>
      <c r="VJZ5" s="19"/>
      <c r="VKA5" s="19"/>
      <c r="VKB5" s="19"/>
      <c r="VKC5" s="19"/>
      <c r="VKD5" s="19"/>
      <c r="VKE5" s="19"/>
      <c r="VKF5" s="19"/>
      <c r="VKG5" s="19"/>
      <c r="VKH5" s="19"/>
      <c r="VKI5" s="19"/>
      <c r="VKJ5" s="19"/>
      <c r="VKK5" s="19"/>
      <c r="VKL5" s="19"/>
      <c r="VKM5" s="19"/>
      <c r="VKN5" s="19"/>
      <c r="VKO5" s="19"/>
      <c r="VKP5" s="19"/>
      <c r="VKQ5" s="19"/>
      <c r="VKR5" s="19"/>
      <c r="VKS5" s="19"/>
      <c r="VKT5" s="19"/>
      <c r="VKU5" s="19"/>
      <c r="VKV5" s="19"/>
      <c r="VKW5" s="19"/>
      <c r="VKX5" s="19"/>
      <c r="VKY5" s="19"/>
      <c r="VKZ5" s="19"/>
      <c r="VLA5" s="19"/>
      <c r="VLB5" s="19"/>
      <c r="VLC5" s="19"/>
      <c r="VLD5" s="19"/>
      <c r="VLE5" s="19"/>
      <c r="VLF5" s="19"/>
      <c r="VLG5" s="19"/>
      <c r="VLH5" s="19"/>
      <c r="VLI5" s="19"/>
      <c r="VLJ5" s="19"/>
      <c r="VLK5" s="19"/>
      <c r="VLL5" s="19"/>
      <c r="VLM5" s="19"/>
      <c r="VLN5" s="19"/>
      <c r="VLO5" s="19"/>
      <c r="VLP5" s="19"/>
      <c r="VLQ5" s="19"/>
      <c r="VLR5" s="19"/>
      <c r="VLS5" s="19"/>
      <c r="VLT5" s="19"/>
      <c r="VLU5" s="19"/>
      <c r="VLV5" s="19"/>
      <c r="VLW5" s="19"/>
      <c r="VLX5" s="19"/>
      <c r="VLY5" s="19"/>
      <c r="VLZ5" s="19"/>
      <c r="VMA5" s="19"/>
      <c r="VMB5" s="19"/>
      <c r="VMC5" s="19"/>
      <c r="VMD5" s="19"/>
      <c r="VME5" s="19"/>
      <c r="VMF5" s="19"/>
      <c r="VMG5" s="19"/>
      <c r="VMH5" s="19"/>
      <c r="VMI5" s="19"/>
      <c r="VMJ5" s="19"/>
      <c r="VMK5" s="19"/>
      <c r="VML5" s="19"/>
      <c r="VMM5" s="19"/>
      <c r="VMN5" s="19"/>
      <c r="VMO5" s="19"/>
      <c r="VMP5" s="19"/>
      <c r="VMQ5" s="19"/>
      <c r="VMR5" s="19"/>
      <c r="VMS5" s="19"/>
      <c r="VMT5" s="19"/>
      <c r="VMU5" s="19"/>
      <c r="VMV5" s="19"/>
      <c r="VMW5" s="19"/>
      <c r="VMX5" s="19"/>
      <c r="VMY5" s="19"/>
      <c r="VMZ5" s="19"/>
      <c r="VNA5" s="19"/>
      <c r="VNB5" s="19"/>
      <c r="VNC5" s="19"/>
      <c r="VND5" s="19"/>
      <c r="VNE5" s="19"/>
      <c r="VNF5" s="19"/>
      <c r="VNG5" s="19"/>
      <c r="VNH5" s="19"/>
      <c r="VNI5" s="19"/>
      <c r="VNJ5" s="19"/>
      <c r="VNK5" s="19"/>
      <c r="VNL5" s="19"/>
      <c r="VNM5" s="19"/>
      <c r="VNN5" s="19"/>
      <c r="VNO5" s="19"/>
      <c r="VNP5" s="19"/>
      <c r="VNQ5" s="19"/>
      <c r="VNR5" s="19"/>
      <c r="VNS5" s="19"/>
      <c r="VNT5" s="19"/>
      <c r="VNU5" s="19"/>
      <c r="VNV5" s="19"/>
      <c r="VNW5" s="19"/>
      <c r="VNX5" s="19"/>
      <c r="VNY5" s="19"/>
      <c r="VNZ5" s="19"/>
      <c r="VOA5" s="19"/>
      <c r="VOB5" s="19"/>
      <c r="VOC5" s="19"/>
      <c r="VOD5" s="19"/>
      <c r="VOE5" s="19"/>
      <c r="VOF5" s="19"/>
      <c r="VOG5" s="19"/>
      <c r="VOH5" s="19"/>
      <c r="VOI5" s="19"/>
      <c r="VOJ5" s="19"/>
      <c r="VOK5" s="19"/>
      <c r="VOL5" s="19"/>
      <c r="VOM5" s="19"/>
      <c r="VON5" s="19"/>
      <c r="VOO5" s="19"/>
      <c r="VOP5" s="19"/>
      <c r="VOQ5" s="19"/>
      <c r="VOR5" s="19"/>
      <c r="VOS5" s="19"/>
      <c r="VOT5" s="19"/>
      <c r="VOU5" s="19"/>
      <c r="VOV5" s="19"/>
      <c r="VOW5" s="19"/>
      <c r="VOX5" s="19"/>
      <c r="VOY5" s="19"/>
      <c r="VOZ5" s="19"/>
      <c r="VPA5" s="19"/>
      <c r="VPB5" s="19"/>
      <c r="VPC5" s="19"/>
      <c r="VPD5" s="19"/>
      <c r="VPE5" s="19"/>
      <c r="VPF5" s="19"/>
      <c r="VPG5" s="19"/>
      <c r="VPH5" s="19"/>
      <c r="VPI5" s="19"/>
      <c r="VPJ5" s="19"/>
      <c r="VPK5" s="19"/>
      <c r="VPL5" s="19"/>
      <c r="VPM5" s="19"/>
      <c r="VPN5" s="19"/>
      <c r="VPO5" s="19"/>
      <c r="VPP5" s="19"/>
      <c r="VPQ5" s="19"/>
      <c r="VPR5" s="19"/>
      <c r="VPS5" s="19"/>
      <c r="VPT5" s="19"/>
      <c r="VPU5" s="19"/>
      <c r="VPV5" s="19"/>
      <c r="VPW5" s="19"/>
      <c r="VPX5" s="19"/>
      <c r="VPY5" s="19"/>
      <c r="VPZ5" s="19"/>
      <c r="VQA5" s="19"/>
      <c r="VQB5" s="19"/>
      <c r="VQC5" s="19"/>
      <c r="VQD5" s="19"/>
      <c r="VQE5" s="19"/>
      <c r="VQF5" s="19"/>
      <c r="VQG5" s="19"/>
      <c r="VQH5" s="19"/>
      <c r="VQI5" s="19"/>
      <c r="VQJ5" s="19"/>
      <c r="VQK5" s="19"/>
      <c r="VQL5" s="19"/>
      <c r="VQM5" s="19"/>
      <c r="VQN5" s="19"/>
      <c r="VQO5" s="19"/>
      <c r="VQP5" s="19"/>
      <c r="VQQ5" s="19"/>
      <c r="VQR5" s="19"/>
      <c r="VQS5" s="19"/>
      <c r="VQT5" s="19"/>
      <c r="VQU5" s="19"/>
      <c r="VQV5" s="19"/>
      <c r="VQW5" s="19"/>
      <c r="VQX5" s="19"/>
      <c r="VQY5" s="19"/>
      <c r="VQZ5" s="19"/>
      <c r="VRA5" s="19"/>
      <c r="VRB5" s="19"/>
      <c r="VRC5" s="19"/>
      <c r="VRD5" s="19"/>
      <c r="VRE5" s="19"/>
      <c r="VRF5" s="19"/>
      <c r="VRG5" s="19"/>
      <c r="VRH5" s="19"/>
      <c r="VRI5" s="19"/>
      <c r="VRJ5" s="19"/>
      <c r="VRK5" s="19"/>
      <c r="VRL5" s="19"/>
      <c r="VRM5" s="19"/>
      <c r="VRN5" s="19"/>
      <c r="VRO5" s="19"/>
      <c r="VRP5" s="19"/>
      <c r="VRQ5" s="19"/>
      <c r="VRR5" s="19"/>
      <c r="VRS5" s="19"/>
      <c r="VRT5" s="19"/>
      <c r="VRU5" s="19"/>
      <c r="VRV5" s="19"/>
      <c r="VRW5" s="19"/>
      <c r="VRX5" s="19"/>
      <c r="VRY5" s="19"/>
      <c r="VRZ5" s="19"/>
      <c r="VSA5" s="19"/>
      <c r="VSB5" s="19"/>
      <c r="VSC5" s="19"/>
      <c r="VSD5" s="19"/>
      <c r="VSE5" s="19"/>
      <c r="VSF5" s="19"/>
      <c r="VSG5" s="19"/>
      <c r="VSH5" s="19"/>
      <c r="VSI5" s="19"/>
      <c r="VSJ5" s="19"/>
      <c r="VSK5" s="19"/>
      <c r="VSL5" s="19"/>
      <c r="VSM5" s="19"/>
      <c r="VSN5" s="19"/>
      <c r="VSO5" s="19"/>
      <c r="VSP5" s="19"/>
      <c r="VSQ5" s="19"/>
      <c r="VSR5" s="19"/>
      <c r="VSS5" s="19"/>
      <c r="VST5" s="19"/>
      <c r="VSU5" s="19"/>
      <c r="VSV5" s="19"/>
      <c r="VSW5" s="19"/>
      <c r="VSX5" s="19"/>
      <c r="VSY5" s="19"/>
      <c r="VSZ5" s="19"/>
      <c r="VTA5" s="19"/>
      <c r="VTB5" s="19"/>
      <c r="VTC5" s="19"/>
      <c r="VTD5" s="19"/>
      <c r="VTE5" s="19"/>
      <c r="VTF5" s="19"/>
      <c r="VTG5" s="19"/>
      <c r="VTH5" s="19"/>
      <c r="VTI5" s="19"/>
      <c r="VTJ5" s="19"/>
      <c r="VTK5" s="19"/>
      <c r="VTL5" s="19"/>
      <c r="VTM5" s="19"/>
      <c r="VTN5" s="19"/>
      <c r="VTO5" s="19"/>
      <c r="VTP5" s="19"/>
      <c r="VTQ5" s="19"/>
      <c r="VTR5" s="19"/>
      <c r="VTS5" s="19"/>
      <c r="VTT5" s="19"/>
      <c r="VTU5" s="19"/>
      <c r="VTV5" s="19"/>
      <c r="VTW5" s="19"/>
      <c r="VTX5" s="19"/>
      <c r="VTY5" s="19"/>
      <c r="VTZ5" s="19"/>
      <c r="VUA5" s="19"/>
      <c r="VUB5" s="19"/>
      <c r="VUC5" s="19"/>
      <c r="VUD5" s="19"/>
      <c r="VUE5" s="19"/>
      <c r="VUF5" s="19"/>
      <c r="VUG5" s="19"/>
      <c r="VUH5" s="19"/>
      <c r="VUI5" s="19"/>
      <c r="VUJ5" s="19"/>
      <c r="VUK5" s="19"/>
      <c r="VUL5" s="19"/>
      <c r="VUM5" s="19"/>
      <c r="VUN5" s="19"/>
      <c r="VUO5" s="19"/>
      <c r="VUP5" s="19"/>
      <c r="VUQ5" s="19"/>
      <c r="VUR5" s="19"/>
      <c r="VUS5" s="19"/>
      <c r="VUT5" s="19"/>
      <c r="VUU5" s="19"/>
      <c r="VUV5" s="19"/>
      <c r="VUW5" s="19"/>
      <c r="VUX5" s="19"/>
      <c r="VUY5" s="19"/>
      <c r="VUZ5" s="19"/>
      <c r="VVA5" s="19"/>
      <c r="VVB5" s="19"/>
      <c r="VVC5" s="19"/>
      <c r="VVD5" s="19"/>
      <c r="VVE5" s="19"/>
      <c r="VVF5" s="19"/>
      <c r="VVG5" s="19"/>
      <c r="VVH5" s="19"/>
      <c r="VVI5" s="19"/>
      <c r="VVJ5" s="19"/>
      <c r="VVK5" s="19"/>
      <c r="VVL5" s="19"/>
      <c r="VVM5" s="19"/>
      <c r="VVN5" s="19"/>
      <c r="VVO5" s="19"/>
      <c r="VVP5" s="19"/>
      <c r="VVQ5" s="19"/>
      <c r="VVR5" s="19"/>
      <c r="VVS5" s="19"/>
      <c r="VVT5" s="19"/>
      <c r="VVU5" s="19"/>
      <c r="VVV5" s="19"/>
      <c r="VVW5" s="19"/>
      <c r="VVX5" s="19"/>
      <c r="VVY5" s="19"/>
      <c r="VVZ5" s="19"/>
      <c r="VWA5" s="19"/>
      <c r="VWB5" s="19"/>
      <c r="VWC5" s="19"/>
      <c r="VWD5" s="19"/>
      <c r="VWE5" s="19"/>
      <c r="VWF5" s="19"/>
      <c r="VWG5" s="19"/>
      <c r="VWH5" s="19"/>
      <c r="VWI5" s="19"/>
      <c r="VWJ5" s="19"/>
      <c r="VWK5" s="19"/>
      <c r="VWL5" s="19"/>
      <c r="VWM5" s="19"/>
      <c r="VWN5" s="19"/>
      <c r="VWO5" s="19"/>
      <c r="VWP5" s="19"/>
      <c r="VWQ5" s="19"/>
      <c r="VWR5" s="19"/>
      <c r="VWS5" s="19"/>
      <c r="VWT5" s="19"/>
      <c r="VWU5" s="19"/>
      <c r="VWV5" s="19"/>
      <c r="VWW5" s="19"/>
      <c r="VWX5" s="19"/>
      <c r="VWY5" s="19"/>
      <c r="VWZ5" s="19"/>
      <c r="VXA5" s="19"/>
      <c r="VXB5" s="19"/>
      <c r="VXC5" s="19"/>
      <c r="VXD5" s="19"/>
      <c r="VXE5" s="19"/>
      <c r="VXF5" s="19"/>
      <c r="VXG5" s="19"/>
      <c r="VXH5" s="19"/>
      <c r="VXI5" s="19"/>
      <c r="VXJ5" s="19"/>
      <c r="VXK5" s="19"/>
      <c r="VXL5" s="19"/>
      <c r="VXM5" s="19"/>
      <c r="VXN5" s="19"/>
      <c r="VXO5" s="19"/>
      <c r="VXP5" s="19"/>
      <c r="VXQ5" s="19"/>
      <c r="VXR5" s="19"/>
      <c r="VXS5" s="19"/>
      <c r="VXT5" s="19"/>
      <c r="VXU5" s="19"/>
      <c r="VXV5" s="19"/>
      <c r="VXW5" s="19"/>
      <c r="VXX5" s="19"/>
      <c r="VXY5" s="19"/>
      <c r="VXZ5" s="19"/>
      <c r="VYA5" s="19"/>
      <c r="VYB5" s="19"/>
      <c r="VYC5" s="19"/>
      <c r="VYD5" s="19"/>
      <c r="VYE5" s="19"/>
      <c r="VYF5" s="19"/>
      <c r="VYG5" s="19"/>
      <c r="VYH5" s="19"/>
      <c r="VYI5" s="19"/>
      <c r="VYJ5" s="19"/>
      <c r="VYK5" s="19"/>
      <c r="VYL5" s="19"/>
      <c r="VYM5" s="19"/>
      <c r="VYN5" s="19"/>
      <c r="VYO5" s="19"/>
      <c r="VYP5" s="19"/>
      <c r="VYQ5" s="19"/>
      <c r="VYR5" s="19"/>
      <c r="VYS5" s="19"/>
      <c r="VYT5" s="19"/>
      <c r="VYU5" s="19"/>
      <c r="VYV5" s="19"/>
      <c r="VYW5" s="19"/>
      <c r="VYX5" s="19"/>
      <c r="VYY5" s="19"/>
      <c r="VYZ5" s="19"/>
      <c r="VZA5" s="19"/>
      <c r="VZB5" s="19"/>
      <c r="VZC5" s="19"/>
      <c r="VZD5" s="19"/>
      <c r="VZE5" s="19"/>
      <c r="VZF5" s="19"/>
      <c r="VZG5" s="19"/>
      <c r="VZH5" s="19"/>
      <c r="VZI5" s="19"/>
      <c r="VZJ5" s="19"/>
      <c r="VZK5" s="19"/>
      <c r="VZL5" s="19"/>
      <c r="VZM5" s="19"/>
      <c r="VZN5" s="19"/>
      <c r="VZO5" s="19"/>
      <c r="VZP5" s="19"/>
      <c r="VZQ5" s="19"/>
      <c r="VZR5" s="19"/>
      <c r="VZS5" s="19"/>
      <c r="VZT5" s="19"/>
      <c r="VZU5" s="19"/>
      <c r="VZV5" s="19"/>
      <c r="VZW5" s="19"/>
      <c r="VZX5" s="19"/>
      <c r="VZY5" s="19"/>
      <c r="VZZ5" s="19"/>
      <c r="WAA5" s="19"/>
      <c r="WAB5" s="19"/>
      <c r="WAC5" s="19"/>
      <c r="WAD5" s="19"/>
      <c r="WAE5" s="19"/>
      <c r="WAF5" s="19"/>
      <c r="WAG5" s="19"/>
      <c r="WAH5" s="19"/>
      <c r="WAI5" s="19"/>
      <c r="WAJ5" s="19"/>
      <c r="WAK5" s="19"/>
      <c r="WAL5" s="19"/>
      <c r="WAM5" s="19"/>
      <c r="WAN5" s="19"/>
      <c r="WAO5" s="19"/>
      <c r="WAP5" s="19"/>
      <c r="WAQ5" s="19"/>
      <c r="WAR5" s="19"/>
      <c r="WAS5" s="19"/>
      <c r="WAT5" s="19"/>
      <c r="WAU5" s="19"/>
      <c r="WAV5" s="19"/>
      <c r="WAW5" s="19"/>
      <c r="WAX5" s="19"/>
      <c r="WAY5" s="19"/>
      <c r="WAZ5" s="19"/>
      <c r="WBA5" s="19"/>
      <c r="WBB5" s="19"/>
      <c r="WBC5" s="19"/>
      <c r="WBD5" s="19"/>
      <c r="WBE5" s="19"/>
      <c r="WBF5" s="19"/>
      <c r="WBG5" s="19"/>
      <c r="WBH5" s="19"/>
      <c r="WBI5" s="19"/>
      <c r="WBJ5" s="19"/>
      <c r="WBK5" s="19"/>
      <c r="WBL5" s="19"/>
      <c r="WBM5" s="19"/>
      <c r="WBN5" s="19"/>
      <c r="WBO5" s="19"/>
      <c r="WBP5" s="19"/>
      <c r="WBQ5" s="19"/>
      <c r="WBR5" s="19"/>
      <c r="WBS5" s="19"/>
      <c r="WBT5" s="19"/>
      <c r="WBU5" s="19"/>
      <c r="WBV5" s="19"/>
      <c r="WBW5" s="19"/>
      <c r="WBX5" s="19"/>
      <c r="WBY5" s="19"/>
      <c r="WBZ5" s="19"/>
      <c r="WCA5" s="19"/>
      <c r="WCB5" s="19"/>
      <c r="WCC5" s="19"/>
      <c r="WCD5" s="19"/>
      <c r="WCE5" s="19"/>
      <c r="WCF5" s="19"/>
      <c r="WCG5" s="19"/>
      <c r="WCH5" s="19"/>
      <c r="WCI5" s="19"/>
      <c r="WCJ5" s="19"/>
      <c r="WCK5" s="19"/>
      <c r="WCL5" s="19"/>
      <c r="WCM5" s="19"/>
      <c r="WCN5" s="19"/>
      <c r="WCO5" s="19"/>
      <c r="WCP5" s="19"/>
      <c r="WCQ5" s="19"/>
      <c r="WCR5" s="19"/>
      <c r="WCS5" s="19"/>
      <c r="WCT5" s="19"/>
      <c r="WCU5" s="19"/>
      <c r="WCV5" s="19"/>
      <c r="WCW5" s="19"/>
      <c r="WCX5" s="19"/>
      <c r="WCY5" s="19"/>
      <c r="WCZ5" s="19"/>
      <c r="WDA5" s="19"/>
      <c r="WDB5" s="19"/>
      <c r="WDC5" s="19"/>
      <c r="WDD5" s="19"/>
      <c r="WDE5" s="19"/>
      <c r="WDF5" s="19"/>
      <c r="WDG5" s="19"/>
      <c r="WDH5" s="19"/>
      <c r="WDI5" s="19"/>
      <c r="WDJ5" s="19"/>
      <c r="WDK5" s="19"/>
      <c r="WDL5" s="19"/>
      <c r="WDM5" s="19"/>
      <c r="WDN5" s="19"/>
      <c r="WDO5" s="19"/>
      <c r="WDP5" s="19"/>
      <c r="WDQ5" s="19"/>
      <c r="WDR5" s="19"/>
      <c r="WDS5" s="19"/>
      <c r="WDT5" s="19"/>
      <c r="WDU5" s="19"/>
      <c r="WDV5" s="19"/>
      <c r="WDW5" s="19"/>
      <c r="WDX5" s="19"/>
      <c r="WDY5" s="19"/>
      <c r="WDZ5" s="19"/>
      <c r="WEA5" s="19"/>
      <c r="WEB5" s="19"/>
      <c r="WEC5" s="19"/>
      <c r="WED5" s="19"/>
      <c r="WEE5" s="19"/>
      <c r="WEF5" s="19"/>
      <c r="WEG5" s="19"/>
      <c r="WEH5" s="19"/>
      <c r="WEI5" s="19"/>
      <c r="WEJ5" s="19"/>
      <c r="WEK5" s="19"/>
      <c r="WEL5" s="19"/>
      <c r="WEM5" s="19"/>
      <c r="WEN5" s="19"/>
      <c r="WEO5" s="19"/>
      <c r="WEP5" s="19"/>
      <c r="WEQ5" s="19"/>
      <c r="WER5" s="19"/>
      <c r="WES5" s="19"/>
      <c r="WET5" s="19"/>
      <c r="WEU5" s="19"/>
      <c r="WEV5" s="19"/>
      <c r="WEW5" s="19"/>
      <c r="WEX5" s="19"/>
      <c r="WEY5" s="19"/>
      <c r="WEZ5" s="19"/>
      <c r="WFA5" s="19"/>
      <c r="WFB5" s="19"/>
      <c r="WFC5" s="19"/>
      <c r="WFD5" s="19"/>
      <c r="WFE5" s="19"/>
      <c r="WFF5" s="19"/>
      <c r="WFG5" s="19"/>
      <c r="WFH5" s="19"/>
      <c r="WFI5" s="19"/>
      <c r="WFJ5" s="19"/>
      <c r="WFK5" s="19"/>
      <c r="WFL5" s="19"/>
      <c r="WFM5" s="19"/>
      <c r="WFN5" s="19"/>
      <c r="WFO5" s="19"/>
      <c r="WFP5" s="19"/>
      <c r="WFQ5" s="19"/>
      <c r="WFR5" s="19"/>
      <c r="WFS5" s="19"/>
      <c r="WFT5" s="19"/>
      <c r="WFU5" s="19"/>
      <c r="WFV5" s="19"/>
      <c r="WFW5" s="19"/>
      <c r="WFX5" s="19"/>
      <c r="WFY5" s="19"/>
      <c r="WFZ5" s="19"/>
      <c r="WGA5" s="19"/>
      <c r="WGB5" s="19"/>
      <c r="WGC5" s="19"/>
      <c r="WGD5" s="19"/>
      <c r="WGE5" s="19"/>
      <c r="WGF5" s="19"/>
      <c r="WGG5" s="19"/>
      <c r="WGH5" s="19"/>
      <c r="WGI5" s="19"/>
      <c r="WGJ5" s="19"/>
      <c r="WGK5" s="19"/>
      <c r="WGL5" s="19"/>
      <c r="WGM5" s="19"/>
      <c r="WGN5" s="19"/>
      <c r="WGO5" s="19"/>
      <c r="WGP5" s="19"/>
      <c r="WGQ5" s="19"/>
      <c r="WGR5" s="19"/>
      <c r="WGS5" s="19"/>
      <c r="WGT5" s="19"/>
      <c r="WGU5" s="19"/>
      <c r="WGV5" s="19"/>
      <c r="WGW5" s="19"/>
      <c r="WGX5" s="19"/>
      <c r="WGY5" s="19"/>
      <c r="WGZ5" s="19"/>
      <c r="WHA5" s="19"/>
      <c r="WHB5" s="19"/>
      <c r="WHC5" s="19"/>
      <c r="WHD5" s="19"/>
      <c r="WHE5" s="19"/>
      <c r="WHF5" s="19"/>
      <c r="WHG5" s="19"/>
      <c r="WHH5" s="19"/>
      <c r="WHI5" s="19"/>
      <c r="WHJ5" s="19"/>
      <c r="WHK5" s="19"/>
      <c r="WHL5" s="19"/>
      <c r="WHM5" s="19"/>
      <c r="WHN5" s="19"/>
      <c r="WHO5" s="19"/>
      <c r="WHP5" s="19"/>
      <c r="WHQ5" s="19"/>
      <c r="WHR5" s="19"/>
      <c r="WHS5" s="19"/>
      <c r="WHT5" s="19"/>
      <c r="WHU5" s="19"/>
      <c r="WHV5" s="19"/>
      <c r="WHW5" s="19"/>
      <c r="WHX5" s="19"/>
      <c r="WHY5" s="19"/>
      <c r="WHZ5" s="19"/>
      <c r="WIA5" s="19"/>
      <c r="WIB5" s="19"/>
      <c r="WIC5" s="19"/>
      <c r="WID5" s="19"/>
      <c r="WIE5" s="19"/>
      <c r="WIF5" s="19"/>
      <c r="WIG5" s="19"/>
      <c r="WIH5" s="19"/>
      <c r="WII5" s="19"/>
      <c r="WIJ5" s="19"/>
      <c r="WIK5" s="19"/>
      <c r="WIL5" s="19"/>
      <c r="WIM5" s="19"/>
      <c r="WIN5" s="19"/>
      <c r="WIO5" s="19"/>
      <c r="WIP5" s="19"/>
      <c r="WIQ5" s="19"/>
      <c r="WIR5" s="19"/>
      <c r="WIS5" s="19"/>
      <c r="WIT5" s="19"/>
      <c r="WIU5" s="19"/>
      <c r="WIV5" s="19"/>
      <c r="WIW5" s="19"/>
      <c r="WIX5" s="19"/>
      <c r="WIY5" s="19"/>
      <c r="WIZ5" s="19"/>
      <c r="WJA5" s="19"/>
      <c r="WJB5" s="19"/>
      <c r="WJC5" s="19"/>
      <c r="WJD5" s="19"/>
      <c r="WJE5" s="19"/>
      <c r="WJF5" s="19"/>
      <c r="WJG5" s="19"/>
      <c r="WJH5" s="19"/>
      <c r="WJI5" s="19"/>
      <c r="WJJ5" s="19"/>
      <c r="WJK5" s="19"/>
      <c r="WJL5" s="19"/>
      <c r="WJM5" s="19"/>
      <c r="WJN5" s="19"/>
      <c r="WJO5" s="19"/>
      <c r="WJP5" s="19"/>
      <c r="WJQ5" s="19"/>
      <c r="WJR5" s="19"/>
      <c r="WJS5" s="19"/>
      <c r="WJT5" s="19"/>
      <c r="WJU5" s="19"/>
      <c r="WJV5" s="19"/>
      <c r="WJW5" s="19"/>
      <c r="WJX5" s="19"/>
      <c r="WJY5" s="19"/>
      <c r="WJZ5" s="19"/>
      <c r="WKA5" s="19"/>
      <c r="WKB5" s="19"/>
      <c r="WKC5" s="19"/>
      <c r="WKD5" s="19"/>
      <c r="WKE5" s="19"/>
      <c r="WKF5" s="19"/>
      <c r="WKG5" s="19"/>
      <c r="WKH5" s="19"/>
      <c r="WKI5" s="19"/>
      <c r="WKJ5" s="19"/>
      <c r="WKK5" s="19"/>
      <c r="WKL5" s="19"/>
      <c r="WKM5" s="19"/>
      <c r="WKN5" s="19"/>
      <c r="WKO5" s="19"/>
      <c r="WKP5" s="19"/>
      <c r="WKQ5" s="19"/>
      <c r="WKR5" s="19"/>
      <c r="WKS5" s="19"/>
      <c r="WKT5" s="19"/>
      <c r="WKU5" s="19"/>
      <c r="WKV5" s="19"/>
      <c r="WKW5" s="19"/>
      <c r="WKX5" s="19"/>
      <c r="WKY5" s="19"/>
      <c r="WKZ5" s="19"/>
      <c r="WLA5" s="19"/>
      <c r="WLB5" s="19"/>
      <c r="WLC5" s="19"/>
      <c r="WLD5" s="19"/>
      <c r="WLE5" s="19"/>
      <c r="WLF5" s="19"/>
      <c r="WLG5" s="19"/>
      <c r="WLH5" s="19"/>
      <c r="WLI5" s="19"/>
      <c r="WLJ5" s="19"/>
      <c r="WLK5" s="19"/>
      <c r="WLL5" s="19"/>
      <c r="WLM5" s="19"/>
      <c r="WLN5" s="19"/>
      <c r="WLO5" s="19"/>
      <c r="WLP5" s="19"/>
      <c r="WLQ5" s="19"/>
      <c r="WLR5" s="19"/>
      <c r="WLS5" s="19"/>
      <c r="WLT5" s="19"/>
      <c r="WLU5" s="19"/>
      <c r="WLV5" s="19"/>
      <c r="WLW5" s="19"/>
      <c r="WLX5" s="19"/>
      <c r="WLY5" s="19"/>
      <c r="WLZ5" s="19"/>
      <c r="WMA5" s="19"/>
      <c r="WMB5" s="19"/>
      <c r="WMC5" s="19"/>
      <c r="WMD5" s="19"/>
      <c r="WME5" s="19"/>
      <c r="WMF5" s="19"/>
      <c r="WMG5" s="19"/>
      <c r="WMH5" s="19"/>
      <c r="WMI5" s="19"/>
      <c r="WMJ5" s="19"/>
      <c r="WMK5" s="19"/>
      <c r="WML5" s="19"/>
      <c r="WMM5" s="19"/>
      <c r="WMN5" s="19"/>
      <c r="WMO5" s="19"/>
      <c r="WMP5" s="19"/>
      <c r="WMQ5" s="19"/>
      <c r="WMR5" s="19"/>
      <c r="WMS5" s="19"/>
      <c r="WMT5" s="19"/>
      <c r="WMU5" s="19"/>
      <c r="WMV5" s="19"/>
      <c r="WMW5" s="19"/>
      <c r="WMX5" s="19"/>
      <c r="WMY5" s="19"/>
      <c r="WMZ5" s="19"/>
      <c r="WNA5" s="19"/>
      <c r="WNB5" s="19"/>
      <c r="WNC5" s="19"/>
      <c r="WND5" s="19"/>
      <c r="WNE5" s="19"/>
      <c r="WNF5" s="19"/>
      <c r="WNG5" s="19"/>
      <c r="WNH5" s="19"/>
      <c r="WNI5" s="19"/>
      <c r="WNJ5" s="19"/>
      <c r="WNK5" s="19"/>
      <c r="WNL5" s="19"/>
      <c r="WNM5" s="19"/>
      <c r="WNN5" s="19"/>
      <c r="WNO5" s="19"/>
      <c r="WNP5" s="19"/>
      <c r="WNQ5" s="19"/>
      <c r="WNR5" s="19"/>
      <c r="WNS5" s="19"/>
      <c r="WNT5" s="19"/>
      <c r="WNU5" s="19"/>
      <c r="WNV5" s="19"/>
      <c r="WNW5" s="19"/>
      <c r="WNX5" s="19"/>
      <c r="WNY5" s="19"/>
      <c r="WNZ5" s="19"/>
      <c r="WOA5" s="19"/>
      <c r="WOB5" s="19"/>
      <c r="WOC5" s="19"/>
      <c r="WOD5" s="19"/>
      <c r="WOE5" s="19"/>
      <c r="WOF5" s="19"/>
      <c r="WOG5" s="19"/>
      <c r="WOH5" s="19"/>
      <c r="WOI5" s="19"/>
      <c r="WOJ5" s="19"/>
      <c r="WOK5" s="19"/>
      <c r="WOL5" s="19"/>
      <c r="WOM5" s="19"/>
      <c r="WON5" s="19"/>
      <c r="WOO5" s="19"/>
      <c r="WOP5" s="19"/>
      <c r="WOQ5" s="19"/>
      <c r="WOR5" s="19"/>
      <c r="WOS5" s="19"/>
      <c r="WOT5" s="19"/>
      <c r="WOU5" s="19"/>
      <c r="WOV5" s="19"/>
      <c r="WOW5" s="19"/>
      <c r="WOX5" s="19"/>
      <c r="WOY5" s="19"/>
      <c r="WOZ5" s="19"/>
      <c r="WPA5" s="19"/>
      <c r="WPB5" s="19"/>
      <c r="WPC5" s="19"/>
      <c r="WPD5" s="19"/>
      <c r="WPE5" s="19"/>
      <c r="WPF5" s="19"/>
      <c r="WPG5" s="19"/>
      <c r="WPH5" s="19"/>
      <c r="WPI5" s="19"/>
      <c r="WPJ5" s="19"/>
      <c r="WPK5" s="19"/>
      <c r="WPL5" s="19"/>
      <c r="WPM5" s="19"/>
      <c r="WPN5" s="19"/>
      <c r="WPO5" s="19"/>
      <c r="WPP5" s="19"/>
      <c r="WPQ5" s="19"/>
      <c r="WPR5" s="19"/>
      <c r="WPS5" s="19"/>
      <c r="WPT5" s="19"/>
      <c r="WPU5" s="19"/>
      <c r="WPV5" s="19"/>
      <c r="WPW5" s="19"/>
      <c r="WPX5" s="19"/>
      <c r="WPY5" s="19"/>
      <c r="WPZ5" s="19"/>
      <c r="WQA5" s="19"/>
      <c r="WQB5" s="19"/>
      <c r="WQC5" s="19"/>
      <c r="WQD5" s="19"/>
      <c r="WQE5" s="19"/>
      <c r="WQF5" s="19"/>
      <c r="WQG5" s="19"/>
      <c r="WQH5" s="19"/>
      <c r="WQI5" s="19"/>
      <c r="WQJ5" s="19"/>
      <c r="WQK5" s="19"/>
      <c r="WQL5" s="19"/>
      <c r="WQM5" s="19"/>
      <c r="WQN5" s="19"/>
      <c r="WQO5" s="19"/>
      <c r="WQP5" s="19"/>
      <c r="WQQ5" s="19"/>
      <c r="WQR5" s="19"/>
      <c r="WQS5" s="19"/>
      <c r="WQT5" s="19"/>
      <c r="WQU5" s="19"/>
      <c r="WQV5" s="19"/>
      <c r="WQW5" s="19"/>
      <c r="WQX5" s="19"/>
      <c r="WQY5" s="19"/>
      <c r="WQZ5" s="19"/>
      <c r="WRA5" s="19"/>
      <c r="WRB5" s="19"/>
      <c r="WRC5" s="19"/>
      <c r="WRD5" s="19"/>
      <c r="WRE5" s="19"/>
      <c r="WRF5" s="19"/>
      <c r="WRG5" s="19"/>
      <c r="WRH5" s="19"/>
      <c r="WRI5" s="19"/>
      <c r="WRJ5" s="19"/>
      <c r="WRK5" s="19"/>
      <c r="WRL5" s="19"/>
      <c r="WRM5" s="19"/>
      <c r="WRN5" s="19"/>
      <c r="WRO5" s="19"/>
      <c r="WRP5" s="19"/>
      <c r="WRQ5" s="19"/>
      <c r="WRR5" s="19"/>
      <c r="WRS5" s="19"/>
      <c r="WRT5" s="19"/>
      <c r="WRU5" s="19"/>
      <c r="WRV5" s="19"/>
      <c r="WRW5" s="19"/>
      <c r="WRX5" s="19"/>
      <c r="WRY5" s="19"/>
      <c r="WRZ5" s="19"/>
      <c r="WSA5" s="19"/>
      <c r="WSB5" s="19"/>
      <c r="WSC5" s="19"/>
      <c r="WSD5" s="19"/>
      <c r="WSE5" s="19"/>
      <c r="WSF5" s="19"/>
      <c r="WSG5" s="19"/>
      <c r="WSH5" s="19"/>
      <c r="WSI5" s="19"/>
      <c r="WSJ5" s="19"/>
      <c r="WSK5" s="19"/>
      <c r="WSL5" s="19"/>
      <c r="WSM5" s="19"/>
      <c r="WSN5" s="19"/>
      <c r="WSO5" s="19"/>
      <c r="WSP5" s="19"/>
      <c r="WSQ5" s="19"/>
      <c r="WSR5" s="19"/>
      <c r="WSS5" s="19"/>
      <c r="WST5" s="19"/>
      <c r="WSU5" s="19"/>
      <c r="WSV5" s="19"/>
      <c r="WSW5" s="19"/>
      <c r="WSX5" s="19"/>
      <c r="WSY5" s="19"/>
      <c r="WSZ5" s="19"/>
      <c r="WTA5" s="19"/>
      <c r="WTB5" s="19"/>
      <c r="WTC5" s="19"/>
      <c r="WTD5" s="19"/>
      <c r="WTE5" s="19"/>
      <c r="WTF5" s="19"/>
      <c r="WTG5" s="19"/>
      <c r="WTH5" s="19"/>
      <c r="WTI5" s="19"/>
      <c r="WTJ5" s="19"/>
      <c r="WTK5" s="19"/>
      <c r="WTL5" s="19"/>
      <c r="WTM5" s="19"/>
      <c r="WTN5" s="19"/>
      <c r="WTO5" s="19"/>
      <c r="WTP5" s="19"/>
      <c r="WTQ5" s="19"/>
      <c r="WTR5" s="19"/>
      <c r="WTS5" s="19"/>
      <c r="WTT5" s="19"/>
      <c r="WTU5" s="19"/>
      <c r="WTV5" s="19"/>
      <c r="WTW5" s="19"/>
      <c r="WTX5" s="19"/>
      <c r="WTY5" s="19"/>
      <c r="WTZ5" s="19"/>
      <c r="WUA5" s="19"/>
      <c r="WUB5" s="19"/>
      <c r="WUC5" s="19"/>
      <c r="WUD5" s="19"/>
      <c r="WUE5" s="19"/>
      <c r="WUF5" s="19"/>
      <c r="WUG5" s="19"/>
      <c r="WUH5" s="19"/>
      <c r="WUI5" s="19"/>
      <c r="WUJ5" s="19"/>
      <c r="WUK5" s="19"/>
      <c r="WUL5" s="19"/>
      <c r="WUM5" s="19"/>
      <c r="WUN5" s="19"/>
      <c r="WUO5" s="19"/>
      <c r="WUP5" s="19"/>
      <c r="WUQ5" s="19"/>
      <c r="WUR5" s="19"/>
      <c r="WUS5" s="19"/>
      <c r="WUT5" s="19"/>
      <c r="WUU5" s="19"/>
      <c r="WUV5" s="19"/>
      <c r="WUW5" s="19"/>
      <c r="WUX5" s="19"/>
      <c r="WUY5" s="19"/>
      <c r="WUZ5" s="19"/>
      <c r="WVA5" s="19"/>
      <c r="WVB5" s="19"/>
      <c r="WVC5" s="19"/>
      <c r="WVD5" s="19"/>
      <c r="WVE5" s="19"/>
      <c r="WVF5" s="19"/>
      <c r="WVG5" s="19"/>
      <c r="WVH5" s="19"/>
      <c r="WVI5" s="19"/>
      <c r="WVJ5" s="19"/>
      <c r="WVK5" s="19"/>
      <c r="WVL5" s="19"/>
      <c r="WVM5" s="19"/>
      <c r="WVN5" s="19"/>
      <c r="WVO5" s="19"/>
      <c r="WVP5" s="19"/>
      <c r="WVQ5" s="19"/>
      <c r="WVR5" s="19"/>
      <c r="WVS5" s="19"/>
      <c r="WVT5" s="19"/>
      <c r="WVU5" s="19"/>
      <c r="WVV5" s="19"/>
      <c r="WVW5" s="19"/>
      <c r="WVX5" s="19"/>
      <c r="WVY5" s="19"/>
      <c r="WVZ5" s="19"/>
      <c r="WWA5" s="19"/>
      <c r="WWB5" s="19"/>
      <c r="WWC5" s="19"/>
      <c r="WWD5" s="19"/>
      <c r="WWE5" s="19"/>
      <c r="WWF5" s="19"/>
      <c r="WWG5" s="19"/>
      <c r="WWH5" s="19"/>
      <c r="WWI5" s="19"/>
      <c r="WWJ5" s="19"/>
      <c r="WWK5" s="19"/>
      <c r="WWL5" s="19"/>
      <c r="WWM5" s="19"/>
      <c r="WWN5" s="19"/>
      <c r="WWO5" s="19"/>
      <c r="WWP5" s="19"/>
      <c r="WWQ5" s="19"/>
      <c r="WWR5" s="19"/>
      <c r="WWS5" s="19"/>
      <c r="WWT5" s="19"/>
      <c r="WWU5" s="19"/>
      <c r="WWV5" s="19"/>
      <c r="WWW5" s="19"/>
      <c r="WWX5" s="19"/>
      <c r="WWY5" s="19"/>
      <c r="WWZ5" s="19"/>
      <c r="WXA5" s="19"/>
      <c r="WXB5" s="19"/>
      <c r="WXC5" s="19"/>
      <c r="WXD5" s="19"/>
      <c r="WXE5" s="19"/>
      <c r="WXF5" s="19"/>
      <c r="WXG5" s="19"/>
      <c r="WXH5" s="19"/>
      <c r="WXI5" s="19"/>
      <c r="WXJ5" s="19"/>
      <c r="WXK5" s="19"/>
      <c r="WXL5" s="19"/>
      <c r="WXM5" s="19"/>
      <c r="WXN5" s="19"/>
      <c r="WXO5" s="19"/>
      <c r="WXP5" s="19"/>
      <c r="WXQ5" s="19"/>
      <c r="WXR5" s="19"/>
      <c r="WXS5" s="19"/>
      <c r="WXT5" s="19"/>
      <c r="WXU5" s="19"/>
      <c r="WXV5" s="19"/>
      <c r="WXW5" s="19"/>
      <c r="WXX5" s="19"/>
      <c r="WXY5" s="19"/>
      <c r="WXZ5" s="19"/>
      <c r="WYA5" s="19"/>
      <c r="WYB5" s="19"/>
      <c r="WYC5" s="19"/>
      <c r="WYD5" s="19"/>
      <c r="WYE5" s="19"/>
      <c r="WYF5" s="19"/>
      <c r="WYG5" s="19"/>
      <c r="WYH5" s="19"/>
      <c r="WYI5" s="19"/>
      <c r="WYJ5" s="19"/>
      <c r="WYK5" s="19"/>
      <c r="WYL5" s="19"/>
      <c r="WYM5" s="19"/>
      <c r="WYN5" s="19"/>
      <c r="WYO5" s="19"/>
      <c r="WYP5" s="19"/>
      <c r="WYQ5" s="19"/>
      <c r="WYR5" s="19"/>
      <c r="WYS5" s="19"/>
      <c r="WYT5" s="19"/>
      <c r="WYU5" s="19"/>
      <c r="WYV5" s="19"/>
      <c r="WYW5" s="19"/>
      <c r="WYX5" s="19"/>
      <c r="WYY5" s="19"/>
      <c r="WYZ5" s="19"/>
      <c r="WZA5" s="19"/>
      <c r="WZB5" s="19"/>
      <c r="WZC5" s="19"/>
      <c r="WZD5" s="19"/>
      <c r="WZE5" s="19"/>
      <c r="WZF5" s="19"/>
      <c r="WZG5" s="19"/>
      <c r="WZH5" s="19"/>
      <c r="WZI5" s="19"/>
      <c r="WZJ5" s="19"/>
      <c r="WZK5" s="19"/>
      <c r="WZL5" s="19"/>
      <c r="WZM5" s="19"/>
      <c r="WZN5" s="19"/>
      <c r="WZO5" s="19"/>
      <c r="WZP5" s="19"/>
      <c r="WZQ5" s="19"/>
      <c r="WZR5" s="19"/>
      <c r="WZS5" s="19"/>
      <c r="WZT5" s="19"/>
      <c r="WZU5" s="19"/>
      <c r="WZV5" s="19"/>
      <c r="WZW5" s="19"/>
      <c r="WZX5" s="19"/>
      <c r="WZY5" s="19"/>
      <c r="WZZ5" s="19"/>
      <c r="XAA5" s="19"/>
      <c r="XAB5" s="19"/>
      <c r="XAC5" s="19"/>
      <c r="XAD5" s="19"/>
      <c r="XAE5" s="19"/>
      <c r="XAF5" s="19"/>
      <c r="XAG5" s="19"/>
      <c r="XAH5" s="19"/>
      <c r="XAI5" s="19"/>
      <c r="XAJ5" s="19"/>
      <c r="XAK5" s="19"/>
      <c r="XAL5" s="19"/>
      <c r="XAM5" s="19"/>
      <c r="XAN5" s="19"/>
      <c r="XAO5" s="19"/>
      <c r="XAP5" s="19"/>
      <c r="XAQ5" s="19"/>
      <c r="XAR5" s="19"/>
      <c r="XAS5" s="19"/>
      <c r="XAT5" s="19"/>
      <c r="XAU5" s="19"/>
      <c r="XAV5" s="19"/>
      <c r="XAW5" s="19"/>
      <c r="XAX5" s="19"/>
      <c r="XAY5" s="19"/>
      <c r="XAZ5" s="19"/>
      <c r="XBA5" s="19"/>
      <c r="XBB5" s="19"/>
      <c r="XBC5" s="19"/>
      <c r="XBD5" s="19"/>
      <c r="XBE5" s="19"/>
      <c r="XBF5" s="19"/>
      <c r="XBG5" s="19"/>
      <c r="XBH5" s="19"/>
      <c r="XBI5" s="19"/>
      <c r="XBJ5" s="19"/>
      <c r="XBK5" s="19"/>
      <c r="XBL5" s="19"/>
      <c r="XBM5" s="19"/>
      <c r="XBN5" s="19"/>
      <c r="XBO5" s="19"/>
      <c r="XBP5" s="19"/>
      <c r="XBQ5" s="19"/>
      <c r="XBR5" s="19"/>
      <c r="XBS5" s="19"/>
      <c r="XBT5" s="19"/>
      <c r="XBU5" s="19"/>
      <c r="XBV5" s="19"/>
      <c r="XBW5" s="19"/>
      <c r="XBX5" s="19"/>
      <c r="XBY5" s="19"/>
      <c r="XBZ5" s="19"/>
      <c r="XCA5" s="19"/>
      <c r="XCB5" s="19"/>
      <c r="XCC5" s="19"/>
      <c r="XCD5" s="19"/>
      <c r="XCE5" s="19"/>
      <c r="XCF5" s="19"/>
      <c r="XCG5" s="19"/>
      <c r="XCH5" s="19"/>
      <c r="XCI5" s="19"/>
      <c r="XCJ5" s="19"/>
      <c r="XCK5" s="19"/>
      <c r="XCL5" s="19"/>
      <c r="XCM5" s="19"/>
      <c r="XCN5" s="19"/>
      <c r="XCO5" s="19"/>
      <c r="XCP5" s="19"/>
      <c r="XCQ5" s="19"/>
      <c r="XCR5" s="19"/>
      <c r="XCS5" s="19"/>
      <c r="XCT5" s="19"/>
      <c r="XCU5" s="19"/>
      <c r="XCV5" s="19"/>
      <c r="XCW5" s="19"/>
      <c r="XCX5" s="19"/>
      <c r="XCY5" s="19"/>
      <c r="XCZ5" s="19"/>
      <c r="XDA5" s="19"/>
      <c r="XDB5" s="19"/>
      <c r="XDC5" s="19"/>
      <c r="XDD5" s="19"/>
      <c r="XDE5" s="19"/>
      <c r="XDF5" s="19"/>
      <c r="XDG5" s="19"/>
      <c r="XDH5" s="19"/>
      <c r="XDI5" s="19"/>
      <c r="XDJ5" s="19"/>
      <c r="XDK5" s="19"/>
      <c r="XDL5" s="19"/>
      <c r="XDM5" s="19"/>
      <c r="XDN5" s="19"/>
      <c r="XDO5" s="19"/>
      <c r="XDP5" s="19"/>
      <c r="XDQ5" s="19"/>
      <c r="XDR5" s="19"/>
      <c r="XDS5" s="19"/>
      <c r="XDT5" s="19"/>
      <c r="XDU5" s="19"/>
      <c r="XDV5" s="19"/>
      <c r="XDW5" s="19"/>
      <c r="XDX5" s="19"/>
      <c r="XDY5" s="19"/>
      <c r="XDZ5" s="19"/>
      <c r="XEA5" s="19"/>
      <c r="XEB5" s="19"/>
      <c r="XEC5" s="19"/>
      <c r="XED5" s="19"/>
      <c r="XEE5" s="19"/>
      <c r="XEF5" s="19"/>
      <c r="XEG5" s="19"/>
      <c r="XEH5" s="19"/>
      <c r="XEI5" s="19"/>
      <c r="XEJ5" s="19"/>
      <c r="XEK5" s="19"/>
      <c r="XEL5" s="19"/>
      <c r="XEM5" s="19"/>
      <c r="XEN5" s="19"/>
      <c r="XEO5" s="19"/>
      <c r="XEP5" s="19"/>
      <c r="XEQ5" s="19"/>
      <c r="XER5" s="19"/>
      <c r="XES5" s="19"/>
      <c r="XET5" s="19"/>
      <c r="XEU5" s="19"/>
      <c r="XEV5" s="19"/>
      <c r="XEW5" s="19"/>
      <c r="XEX5" s="19"/>
      <c r="XEY5" s="19"/>
      <c r="XEZ5" s="19"/>
      <c r="XFA5" s="19"/>
      <c r="XFB5" s="19"/>
      <c r="XFC5" s="19"/>
    </row>
    <row r="6" spans="1:16383" ht="16.5" customHeight="1">
      <c r="B6" s="232" t="s">
        <v>146</v>
      </c>
      <c r="C6" s="513"/>
      <c r="D6" s="514"/>
      <c r="E6" s="515"/>
      <c r="F6" s="516" t="s">
        <v>147</v>
      </c>
      <c r="G6" s="517"/>
      <c r="H6" s="513"/>
      <c r="I6" s="514"/>
      <c r="J6" s="514"/>
      <c r="K6" s="514"/>
      <c r="L6" s="514"/>
      <c r="M6" s="514"/>
      <c r="N6" s="515"/>
      <c r="O6" s="28"/>
      <c r="P6" s="28"/>
      <c r="Q6" s="28"/>
      <c r="R6" s="28"/>
      <c r="S6" s="28"/>
      <c r="T6" s="28"/>
      <c r="U6" s="28"/>
      <c r="V6" s="28"/>
      <c r="W6" s="28"/>
      <c r="X6" s="28"/>
      <c r="Y6" s="28"/>
      <c r="Z6" s="28"/>
      <c r="AA6" s="28"/>
      <c r="AB6" s="54"/>
      <c r="AC6" s="28"/>
      <c r="AD6" s="28"/>
      <c r="AE6" s="28"/>
      <c r="AF6" s="28"/>
      <c r="AG6" s="28"/>
      <c r="AH6" s="28"/>
      <c r="AI6" s="28"/>
      <c r="AJ6" s="57"/>
      <c r="AK6" s="28"/>
      <c r="AL6" s="28"/>
      <c r="AM6" s="28"/>
      <c r="AN6" s="28"/>
      <c r="AO6" s="28"/>
      <c r="AP6" s="28"/>
      <c r="AQ6" s="28"/>
      <c r="AR6" s="57"/>
      <c r="AS6" s="28"/>
      <c r="AT6" s="28"/>
      <c r="AU6" s="28"/>
      <c r="AV6" s="28"/>
      <c r="AW6" s="28"/>
      <c r="AX6" s="28"/>
      <c r="AY6" s="28"/>
      <c r="AZ6" s="57"/>
      <c r="BA6" s="28"/>
      <c r="BB6" s="26"/>
      <c r="BC6" s="26"/>
      <c r="BD6" s="26"/>
      <c r="BE6" s="28"/>
      <c r="BF6" s="28"/>
      <c r="BG6" s="57"/>
      <c r="BH6" s="28"/>
      <c r="BI6" s="26"/>
      <c r="BJ6" s="26"/>
      <c r="BK6" s="26"/>
      <c r="BL6" s="26"/>
      <c r="BM6" s="26"/>
      <c r="BN6" s="57"/>
      <c r="BO6" s="26"/>
      <c r="BP6" s="26"/>
      <c r="BQ6" s="26"/>
      <c r="BR6" s="26"/>
      <c r="BS6" s="26"/>
      <c r="BT6" s="26"/>
      <c r="BU6" s="26"/>
      <c r="BV6" s="57"/>
      <c r="BW6" s="26"/>
      <c r="BX6" s="26"/>
      <c r="BY6" s="26"/>
      <c r="BZ6" s="26"/>
      <c r="CA6" s="26"/>
      <c r="CB6" s="26"/>
      <c r="CD6" s="59"/>
      <c r="CE6" s="21"/>
      <c r="CF6" s="21"/>
      <c r="CG6" s="21"/>
      <c r="CH6" s="60"/>
      <c r="CI6" s="60"/>
      <c r="CJ6" s="60"/>
      <c r="CK6" s="21"/>
      <c r="CL6" s="21"/>
      <c r="CM6" s="21"/>
      <c r="CN6" s="21"/>
      <c r="CO6" s="21"/>
      <c r="CP6" s="21"/>
      <c r="CQ6" s="21"/>
      <c r="CR6" s="21"/>
      <c r="CS6" s="21"/>
      <c r="CT6" s="21"/>
      <c r="CU6" s="21"/>
      <c r="CV6" s="21"/>
      <c r="CW6" s="20"/>
      <c r="CX6" s="21"/>
      <c r="CY6" s="21"/>
      <c r="CZ6" s="20"/>
      <c r="DA6" s="20"/>
      <c r="DB6" s="20"/>
      <c r="DC6" s="20"/>
      <c r="DD6" s="21"/>
      <c r="DE6" s="21"/>
      <c r="DF6" s="20"/>
      <c r="DG6" s="20"/>
      <c r="DH6" s="20"/>
      <c r="DI6" s="22"/>
      <c r="DJ6" s="23"/>
      <c r="DK6" s="23"/>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5"/>
      <c r="ES6" s="25"/>
      <c r="ET6" s="25"/>
      <c r="EU6" s="25"/>
      <c r="EV6" s="25"/>
      <c r="EW6" s="25"/>
      <c r="EX6" s="25"/>
      <c r="EY6" s="25"/>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c r="XEW6" s="19"/>
      <c r="XEX6" s="19"/>
      <c r="XEY6" s="19"/>
      <c r="XEZ6" s="19"/>
      <c r="XFA6" s="19"/>
      <c r="XFB6" s="19"/>
      <c r="XFC6" s="19"/>
    </row>
    <row r="7" spans="1:16383" ht="16.5" customHeight="1">
      <c r="B7" s="233" t="s">
        <v>148</v>
      </c>
      <c r="C7" s="518"/>
      <c r="D7" s="519"/>
      <c r="E7" s="520"/>
      <c r="F7" s="521" t="s">
        <v>149</v>
      </c>
      <c r="G7" s="522"/>
      <c r="H7" s="518"/>
      <c r="I7" s="519"/>
      <c r="J7" s="519"/>
      <c r="K7" s="519"/>
      <c r="L7" s="519"/>
      <c r="M7" s="519"/>
      <c r="N7" s="520"/>
      <c r="O7" s="28"/>
      <c r="P7" s="28"/>
      <c r="Q7" s="28"/>
      <c r="R7" s="28"/>
      <c r="S7" s="28"/>
      <c r="T7" s="28"/>
      <c r="U7" s="28"/>
      <c r="V7" s="28"/>
      <c r="W7" s="28"/>
      <c r="X7" s="28"/>
      <c r="Y7" s="28"/>
      <c r="Z7" s="28"/>
      <c r="AA7" s="28"/>
      <c r="AB7" s="54"/>
      <c r="AC7" s="28"/>
      <c r="AD7" s="28"/>
      <c r="AE7" s="28"/>
      <c r="AF7" s="28"/>
      <c r="AG7" s="28"/>
      <c r="AH7" s="28"/>
      <c r="AI7" s="28"/>
      <c r="AJ7" s="57"/>
      <c r="AK7" s="28"/>
      <c r="AL7" s="28"/>
      <c r="AM7" s="28"/>
      <c r="AN7" s="28"/>
      <c r="AO7" s="28"/>
      <c r="AP7" s="28"/>
      <c r="AQ7" s="28"/>
      <c r="AR7" s="57"/>
      <c r="AS7" s="28"/>
      <c r="AT7" s="28"/>
      <c r="AU7" s="28"/>
      <c r="AV7" s="28"/>
      <c r="AW7" s="28"/>
      <c r="AX7" s="28"/>
      <c r="AY7" s="28"/>
      <c r="AZ7" s="57"/>
      <c r="BA7" s="28"/>
      <c r="BB7" s="26"/>
      <c r="BC7" s="26"/>
      <c r="BD7" s="26"/>
      <c r="BE7" s="28"/>
      <c r="BF7" s="28"/>
      <c r="BG7" s="57"/>
      <c r="BH7" s="28"/>
      <c r="BI7" s="26"/>
      <c r="BJ7" s="26"/>
      <c r="BK7" s="26"/>
      <c r="BL7" s="26"/>
      <c r="BM7" s="26"/>
      <c r="BN7" s="57"/>
      <c r="BO7" s="26"/>
      <c r="BP7" s="26"/>
      <c r="BQ7" s="26"/>
      <c r="BR7" s="26"/>
      <c r="BS7" s="26"/>
      <c r="BT7" s="26"/>
      <c r="BU7" s="26"/>
      <c r="BV7" s="57"/>
      <c r="BW7" s="26"/>
      <c r="BX7" s="26"/>
      <c r="BY7" s="26"/>
      <c r="BZ7" s="26"/>
      <c r="CA7" s="26"/>
      <c r="CB7" s="26"/>
      <c r="CD7" s="59"/>
      <c r="CE7" s="21"/>
      <c r="CF7" s="21"/>
      <c r="CG7" s="21"/>
      <c r="CH7" s="60"/>
      <c r="CI7" s="60"/>
      <c r="CJ7" s="60"/>
      <c r="CK7" s="21"/>
      <c r="CL7" s="21"/>
      <c r="CM7" s="21"/>
      <c r="CN7" s="21"/>
      <c r="CO7" s="21"/>
      <c r="CP7" s="21"/>
      <c r="CQ7" s="21"/>
      <c r="CR7" s="21"/>
      <c r="CS7" s="21"/>
      <c r="CT7" s="21"/>
      <c r="CU7" s="21"/>
      <c r="CV7" s="21"/>
      <c r="CW7" s="20"/>
      <c r="CX7" s="21"/>
      <c r="CY7" s="21"/>
      <c r="CZ7" s="20"/>
      <c r="DA7" s="20"/>
      <c r="DB7" s="20"/>
      <c r="DC7" s="20"/>
      <c r="DD7" s="21"/>
      <c r="DE7" s="21"/>
      <c r="DF7" s="20"/>
      <c r="DG7" s="20"/>
      <c r="DH7" s="20"/>
      <c r="DI7" s="22"/>
      <c r="DJ7" s="23"/>
      <c r="DK7" s="23"/>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5"/>
      <c r="ES7" s="25"/>
      <c r="ET7" s="25"/>
      <c r="EU7" s="25"/>
      <c r="EV7" s="25"/>
      <c r="EW7" s="25"/>
      <c r="EX7" s="25"/>
      <c r="EY7" s="25"/>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c r="WYX7" s="19"/>
      <c r="WYY7" s="19"/>
      <c r="WYZ7" s="19"/>
      <c r="WZA7" s="19"/>
      <c r="WZB7" s="19"/>
      <c r="WZC7" s="19"/>
      <c r="WZD7" s="19"/>
      <c r="WZE7" s="19"/>
      <c r="WZF7" s="19"/>
      <c r="WZG7" s="19"/>
      <c r="WZH7" s="19"/>
      <c r="WZI7" s="19"/>
      <c r="WZJ7" s="19"/>
      <c r="WZK7" s="19"/>
      <c r="WZL7" s="19"/>
      <c r="WZM7" s="19"/>
      <c r="WZN7" s="19"/>
      <c r="WZO7" s="19"/>
      <c r="WZP7" s="19"/>
      <c r="WZQ7" s="19"/>
      <c r="WZR7" s="19"/>
      <c r="WZS7" s="19"/>
      <c r="WZT7" s="19"/>
      <c r="WZU7" s="19"/>
      <c r="WZV7" s="19"/>
      <c r="WZW7" s="19"/>
      <c r="WZX7" s="19"/>
      <c r="WZY7" s="19"/>
      <c r="WZZ7" s="19"/>
      <c r="XAA7" s="19"/>
      <c r="XAB7" s="19"/>
      <c r="XAC7" s="19"/>
      <c r="XAD7" s="19"/>
      <c r="XAE7" s="19"/>
      <c r="XAF7" s="19"/>
      <c r="XAG7" s="19"/>
      <c r="XAH7" s="19"/>
      <c r="XAI7" s="19"/>
      <c r="XAJ7" s="19"/>
      <c r="XAK7" s="19"/>
      <c r="XAL7" s="19"/>
      <c r="XAM7" s="19"/>
      <c r="XAN7" s="19"/>
      <c r="XAO7" s="19"/>
      <c r="XAP7" s="19"/>
      <c r="XAQ7" s="19"/>
      <c r="XAR7" s="19"/>
      <c r="XAS7" s="19"/>
      <c r="XAT7" s="19"/>
      <c r="XAU7" s="19"/>
      <c r="XAV7" s="19"/>
      <c r="XAW7" s="19"/>
      <c r="XAX7" s="19"/>
      <c r="XAY7" s="19"/>
      <c r="XAZ7" s="19"/>
      <c r="XBA7" s="19"/>
      <c r="XBB7" s="19"/>
      <c r="XBC7" s="19"/>
      <c r="XBD7" s="19"/>
      <c r="XBE7" s="19"/>
      <c r="XBF7" s="19"/>
      <c r="XBG7" s="19"/>
      <c r="XBH7" s="19"/>
      <c r="XBI7" s="19"/>
      <c r="XBJ7" s="19"/>
      <c r="XBK7" s="19"/>
      <c r="XBL7" s="19"/>
      <c r="XBM7" s="19"/>
      <c r="XBN7" s="19"/>
      <c r="XBO7" s="19"/>
      <c r="XBP7" s="19"/>
      <c r="XBQ7" s="19"/>
      <c r="XBR7" s="19"/>
      <c r="XBS7" s="19"/>
      <c r="XBT7" s="19"/>
      <c r="XBU7" s="19"/>
      <c r="XBV7" s="19"/>
      <c r="XBW7" s="19"/>
      <c r="XBX7" s="19"/>
      <c r="XBY7" s="19"/>
      <c r="XBZ7" s="19"/>
      <c r="XCA7" s="19"/>
      <c r="XCB7" s="19"/>
      <c r="XCC7" s="19"/>
      <c r="XCD7" s="19"/>
      <c r="XCE7" s="19"/>
      <c r="XCF7" s="19"/>
      <c r="XCG7" s="19"/>
      <c r="XCH7" s="19"/>
      <c r="XCI7" s="19"/>
      <c r="XCJ7" s="19"/>
      <c r="XCK7" s="19"/>
      <c r="XCL7" s="19"/>
      <c r="XCM7" s="19"/>
      <c r="XCN7" s="19"/>
      <c r="XCO7" s="19"/>
      <c r="XCP7" s="19"/>
      <c r="XCQ7" s="19"/>
      <c r="XCR7" s="19"/>
      <c r="XCS7" s="19"/>
      <c r="XCT7" s="19"/>
      <c r="XCU7" s="19"/>
      <c r="XCV7" s="19"/>
      <c r="XCW7" s="19"/>
      <c r="XCX7" s="19"/>
      <c r="XCY7" s="19"/>
      <c r="XCZ7" s="19"/>
      <c r="XDA7" s="19"/>
      <c r="XDB7" s="19"/>
      <c r="XDC7" s="19"/>
      <c r="XDD7" s="19"/>
      <c r="XDE7" s="19"/>
      <c r="XDF7" s="19"/>
      <c r="XDG7" s="19"/>
      <c r="XDH7" s="19"/>
      <c r="XDI7" s="19"/>
      <c r="XDJ7" s="19"/>
      <c r="XDK7" s="19"/>
      <c r="XDL7" s="19"/>
      <c r="XDM7" s="19"/>
      <c r="XDN7" s="19"/>
      <c r="XDO7" s="19"/>
      <c r="XDP7" s="19"/>
      <c r="XDQ7" s="19"/>
      <c r="XDR7" s="19"/>
      <c r="XDS7" s="19"/>
      <c r="XDT7" s="19"/>
      <c r="XDU7" s="19"/>
      <c r="XDV7" s="19"/>
      <c r="XDW7" s="19"/>
      <c r="XDX7" s="19"/>
      <c r="XDY7" s="19"/>
      <c r="XDZ7" s="19"/>
      <c r="XEA7" s="19"/>
      <c r="XEB7" s="19"/>
      <c r="XEC7" s="19"/>
      <c r="XED7" s="19"/>
      <c r="XEE7" s="19"/>
      <c r="XEF7" s="19"/>
      <c r="XEG7" s="19"/>
      <c r="XEH7" s="19"/>
      <c r="XEI7" s="19"/>
      <c r="XEJ7" s="19"/>
      <c r="XEK7" s="19"/>
      <c r="XEL7" s="19"/>
      <c r="XEM7" s="19"/>
      <c r="XEN7" s="19"/>
      <c r="XEO7" s="19"/>
      <c r="XEP7" s="19"/>
      <c r="XEQ7" s="19"/>
      <c r="XER7" s="19"/>
      <c r="XES7" s="19"/>
      <c r="XET7" s="19"/>
      <c r="XEU7" s="19"/>
      <c r="XEV7" s="19"/>
      <c r="XEW7" s="19"/>
      <c r="XEX7" s="19"/>
      <c r="XEY7" s="19"/>
      <c r="XEZ7" s="19"/>
      <c r="XFA7" s="19"/>
      <c r="XFB7" s="19"/>
      <c r="XFC7" s="19"/>
    </row>
    <row r="8" spans="1:16383" ht="16.5" customHeight="1">
      <c r="B8" s="233" t="s">
        <v>150</v>
      </c>
      <c r="C8" s="518"/>
      <c r="D8" s="519"/>
      <c r="E8" s="520"/>
      <c r="F8" s="521" t="s">
        <v>151</v>
      </c>
      <c r="G8" s="522"/>
      <c r="H8" s="518"/>
      <c r="I8" s="519"/>
      <c r="J8" s="519"/>
      <c r="K8" s="519"/>
      <c r="L8" s="519"/>
      <c r="M8" s="519"/>
      <c r="N8" s="520"/>
      <c r="O8" s="28"/>
      <c r="P8" s="28"/>
      <c r="Q8" s="28"/>
      <c r="R8" s="28"/>
      <c r="S8" s="28"/>
      <c r="T8" s="28"/>
      <c r="U8" s="28"/>
      <c r="V8" s="28"/>
      <c r="W8" s="28"/>
      <c r="X8" s="28"/>
      <c r="Y8" s="28"/>
      <c r="Z8" s="28"/>
      <c r="AA8" s="28"/>
      <c r="AB8" s="54"/>
      <c r="AC8" s="28"/>
      <c r="AD8" s="28"/>
      <c r="AE8" s="28"/>
      <c r="AF8" s="28"/>
      <c r="AG8" s="28"/>
      <c r="AH8" s="28"/>
      <c r="AI8" s="28"/>
      <c r="AJ8" s="57"/>
      <c r="AK8" s="28"/>
      <c r="AL8" s="28"/>
      <c r="AM8" s="28"/>
      <c r="AN8" s="28"/>
      <c r="AO8" s="28"/>
      <c r="AP8" s="28"/>
      <c r="AQ8" s="28"/>
      <c r="AR8" s="57"/>
      <c r="AS8" s="28"/>
      <c r="AT8" s="28"/>
      <c r="AU8" s="28"/>
      <c r="AV8" s="28"/>
      <c r="AW8" s="28"/>
      <c r="AX8" s="28"/>
      <c r="AY8" s="28"/>
      <c r="AZ8" s="57"/>
      <c r="BA8" s="28"/>
      <c r="BB8" s="26"/>
      <c r="BC8" s="26"/>
      <c r="BD8" s="26"/>
      <c r="BE8" s="28"/>
      <c r="BF8" s="28"/>
      <c r="BG8" s="57"/>
      <c r="BH8" s="28"/>
      <c r="BI8" s="26"/>
      <c r="BJ8" s="26"/>
      <c r="BK8" s="26"/>
      <c r="BL8" s="26"/>
      <c r="BM8" s="26"/>
      <c r="BN8" s="57"/>
      <c r="BO8" s="26"/>
      <c r="BP8" s="26"/>
      <c r="BQ8" s="26"/>
      <c r="BR8" s="26"/>
      <c r="BS8" s="26"/>
      <c r="BT8" s="26"/>
      <c r="BU8" s="26"/>
      <c r="BV8" s="57"/>
      <c r="BW8" s="26"/>
      <c r="BX8" s="26"/>
      <c r="BY8" s="26"/>
      <c r="BZ8" s="26"/>
      <c r="CA8" s="26"/>
      <c r="CB8" s="26"/>
      <c r="CD8" s="59"/>
      <c r="CE8" s="21"/>
      <c r="CF8" s="21"/>
      <c r="CG8" s="21"/>
      <c r="CH8" s="60"/>
      <c r="CI8" s="60"/>
      <c r="CJ8" s="60"/>
      <c r="CK8" s="21"/>
      <c r="CL8" s="21"/>
      <c r="CM8" s="21"/>
      <c r="CN8" s="21"/>
      <c r="CO8" s="21"/>
      <c r="CP8" s="21"/>
      <c r="CQ8" s="21"/>
      <c r="CR8" s="21"/>
      <c r="CS8" s="21"/>
      <c r="CT8" s="21"/>
      <c r="CU8" s="21"/>
      <c r="CV8" s="21"/>
      <c r="CW8" s="20"/>
      <c r="CX8" s="21"/>
      <c r="CY8" s="21"/>
      <c r="CZ8" s="20"/>
      <c r="DA8" s="20"/>
      <c r="DB8" s="20"/>
      <c r="DC8" s="20"/>
      <c r="DD8" s="21"/>
      <c r="DE8" s="21"/>
      <c r="DF8" s="20"/>
      <c r="DG8" s="20"/>
      <c r="DH8" s="20"/>
      <c r="DI8" s="22"/>
      <c r="DJ8" s="23"/>
      <c r="DK8" s="23"/>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5"/>
      <c r="ES8" s="25"/>
      <c r="ET8" s="25"/>
      <c r="EU8" s="25"/>
      <c r="EV8" s="25"/>
      <c r="EW8" s="25"/>
      <c r="EX8" s="25"/>
      <c r="EY8" s="25"/>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c r="XEX8" s="19"/>
      <c r="XEY8" s="19"/>
      <c r="XEZ8" s="19"/>
      <c r="XFA8" s="19"/>
      <c r="XFB8" s="19"/>
      <c r="XFC8" s="19"/>
    </row>
    <row r="9" spans="1:16383" ht="16.5" customHeight="1">
      <c r="B9" s="233" t="s">
        <v>152</v>
      </c>
      <c r="C9" s="518"/>
      <c r="D9" s="519"/>
      <c r="E9" s="520"/>
      <c r="F9" s="521"/>
      <c r="G9" s="522"/>
      <c r="H9" s="523"/>
      <c r="I9" s="524"/>
      <c r="J9" s="524"/>
      <c r="K9" s="524"/>
      <c r="L9" s="524"/>
      <c r="M9" s="524"/>
      <c r="N9" s="525"/>
      <c r="O9" s="28"/>
      <c r="P9" s="28"/>
      <c r="Q9" s="28"/>
      <c r="R9" s="28"/>
      <c r="S9" s="28"/>
      <c r="T9" s="28"/>
      <c r="U9" s="28"/>
      <c r="V9" s="28"/>
      <c r="W9" s="28"/>
      <c r="X9" s="28"/>
      <c r="Y9" s="28"/>
      <c r="Z9" s="28"/>
      <c r="AA9" s="28"/>
      <c r="AB9" s="54"/>
      <c r="AC9" s="28"/>
      <c r="AD9" s="28"/>
      <c r="AE9" s="28"/>
      <c r="AF9" s="28"/>
      <c r="AG9" s="28"/>
      <c r="AH9" s="28"/>
      <c r="AI9" s="28"/>
      <c r="AJ9" s="57"/>
      <c r="AK9" s="28"/>
      <c r="AL9" s="28"/>
      <c r="AM9" s="28"/>
      <c r="AN9" s="28"/>
      <c r="AO9" s="28"/>
      <c r="AP9" s="28"/>
      <c r="AQ9" s="28"/>
      <c r="AR9" s="57"/>
      <c r="AS9" s="28"/>
      <c r="AT9" s="28"/>
      <c r="AU9" s="28"/>
      <c r="AV9" s="28"/>
      <c r="AW9" s="28"/>
      <c r="AX9" s="28"/>
      <c r="AY9" s="28"/>
      <c r="AZ9" s="57"/>
      <c r="BA9" s="28"/>
      <c r="BB9" s="26"/>
      <c r="BC9" s="26"/>
      <c r="BD9" s="26"/>
      <c r="BE9" s="28"/>
      <c r="BF9" s="28"/>
      <c r="BG9" s="57"/>
      <c r="BH9" s="28"/>
      <c r="BI9" s="26"/>
      <c r="BJ9" s="26"/>
      <c r="BK9" s="26"/>
      <c r="BL9" s="26"/>
      <c r="BM9" s="26"/>
      <c r="BN9" s="57"/>
      <c r="BO9" s="26"/>
      <c r="BP9" s="26"/>
      <c r="BQ9" s="26"/>
      <c r="BR9" s="26"/>
      <c r="BS9" s="26"/>
      <c r="BT9" s="26"/>
      <c r="BU9" s="26"/>
      <c r="BV9" s="57"/>
      <c r="BW9" s="26"/>
      <c r="BX9" s="26"/>
      <c r="BY9" s="26"/>
      <c r="BZ9" s="26"/>
      <c r="CA9" s="26"/>
      <c r="CB9" s="26"/>
      <c r="CD9" s="59"/>
      <c r="CE9" s="21"/>
      <c r="CF9" s="21"/>
      <c r="CG9" s="21"/>
      <c r="CH9" s="60"/>
      <c r="CI9" s="60"/>
      <c r="CJ9" s="60"/>
      <c r="CK9" s="21"/>
      <c r="CL9" s="21"/>
      <c r="CM9" s="21"/>
      <c r="CN9" s="21"/>
      <c r="CO9" s="21"/>
      <c r="CP9" s="21"/>
      <c r="CQ9" s="21"/>
      <c r="CR9" s="21"/>
      <c r="CS9" s="21"/>
      <c r="CT9" s="21"/>
      <c r="CU9" s="21"/>
      <c r="CV9" s="21"/>
      <c r="CW9" s="20"/>
      <c r="CX9" s="21"/>
      <c r="CY9" s="21"/>
      <c r="CZ9" s="20"/>
      <c r="DA9" s="20"/>
      <c r="DB9" s="20"/>
      <c r="DC9" s="20"/>
      <c r="DD9" s="21"/>
      <c r="DE9" s="21"/>
      <c r="DF9" s="20"/>
      <c r="DG9" s="20"/>
      <c r="DH9" s="20"/>
      <c r="DI9" s="22"/>
      <c r="DJ9" s="23"/>
      <c r="DK9" s="23"/>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5"/>
      <c r="ES9" s="25"/>
      <c r="ET9" s="25"/>
      <c r="EU9" s="25"/>
      <c r="EV9" s="25"/>
      <c r="EW9" s="25"/>
      <c r="EX9" s="25"/>
      <c r="EY9" s="25"/>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c r="XEX9" s="19"/>
      <c r="XEY9" s="19"/>
      <c r="XEZ9" s="19"/>
      <c r="XFA9" s="19"/>
      <c r="XFB9" s="19"/>
      <c r="XFC9" s="19"/>
    </row>
    <row r="10" spans="1:16383" ht="16.5" customHeight="1">
      <c r="B10" s="234" t="s">
        <v>153</v>
      </c>
      <c r="C10" s="526"/>
      <c r="D10" s="527"/>
      <c r="E10" s="528"/>
      <c r="F10" s="529" t="s">
        <v>154</v>
      </c>
      <c r="G10" s="530"/>
      <c r="H10" s="531"/>
      <c r="I10" s="532"/>
      <c r="J10" s="532"/>
      <c r="K10" s="532"/>
      <c r="L10" s="532"/>
      <c r="M10" s="532"/>
      <c r="N10" s="533"/>
      <c r="O10" s="28"/>
      <c r="P10" s="28"/>
      <c r="Q10" s="28"/>
      <c r="R10" s="28"/>
      <c r="S10" s="28"/>
      <c r="T10" s="28"/>
      <c r="U10" s="28"/>
      <c r="V10" s="28"/>
      <c r="W10" s="28"/>
      <c r="X10" s="28"/>
      <c r="Y10" s="28"/>
      <c r="Z10" s="28"/>
      <c r="AA10" s="28"/>
      <c r="AB10" s="54"/>
      <c r="AC10" s="28"/>
      <c r="AD10" s="28"/>
      <c r="AE10" s="28"/>
      <c r="AF10" s="28"/>
      <c r="AG10" s="28"/>
      <c r="AH10" s="28"/>
      <c r="AI10" s="28"/>
      <c r="AJ10" s="57"/>
      <c r="AK10" s="28"/>
      <c r="AL10" s="28"/>
      <c r="AM10" s="28"/>
      <c r="AN10" s="28"/>
      <c r="AO10" s="28"/>
      <c r="AP10" s="28"/>
      <c r="AQ10" s="28"/>
      <c r="AR10" s="57"/>
      <c r="AS10" s="28"/>
      <c r="AT10" s="28"/>
      <c r="AU10" s="28"/>
      <c r="AV10" s="28"/>
      <c r="AW10" s="28"/>
      <c r="AX10" s="28"/>
      <c r="AY10" s="28"/>
      <c r="AZ10" s="57"/>
      <c r="BA10" s="28"/>
      <c r="BB10" s="26"/>
      <c r="BC10" s="26"/>
      <c r="BD10" s="26"/>
      <c r="BE10" s="28"/>
      <c r="BF10" s="28"/>
      <c r="BG10" s="57"/>
      <c r="BH10" s="28"/>
      <c r="BI10" s="26"/>
      <c r="BJ10" s="26"/>
      <c r="BK10" s="26"/>
      <c r="BL10" s="26"/>
      <c r="BM10" s="26"/>
      <c r="BN10" s="57"/>
      <c r="BO10" s="26"/>
      <c r="BP10" s="26"/>
      <c r="BQ10" s="26"/>
      <c r="BR10" s="26"/>
      <c r="BS10" s="26"/>
      <c r="BT10" s="26"/>
      <c r="BU10" s="26"/>
      <c r="BV10" s="57"/>
      <c r="BW10" s="26"/>
      <c r="BX10" s="26"/>
      <c r="BY10" s="26"/>
      <c r="BZ10" s="26"/>
      <c r="CA10" s="26"/>
      <c r="CB10" s="26"/>
      <c r="CD10" s="59"/>
      <c r="CE10" s="21"/>
      <c r="CF10" s="21"/>
      <c r="CG10" s="21"/>
      <c r="CH10" s="60"/>
      <c r="CI10" s="60"/>
      <c r="CJ10" s="60"/>
      <c r="CK10" s="34"/>
      <c r="CL10" s="34"/>
      <c r="CM10" s="34"/>
      <c r="CN10" s="34"/>
      <c r="CO10" s="34"/>
      <c r="CP10" s="34"/>
      <c r="CQ10" s="21"/>
      <c r="CR10" s="34"/>
      <c r="CS10" s="34"/>
      <c r="CT10" s="21"/>
      <c r="CU10" s="21"/>
      <c r="CV10" s="21"/>
      <c r="CW10" s="20"/>
      <c r="CX10" s="34"/>
      <c r="CY10" s="34"/>
      <c r="CZ10" s="20"/>
      <c r="DA10" s="20"/>
      <c r="DB10" s="20"/>
      <c r="DC10" s="20"/>
      <c r="DD10" s="34"/>
      <c r="DE10" s="34"/>
      <c r="DF10" s="20"/>
      <c r="DG10" s="20"/>
      <c r="DH10" s="20"/>
      <c r="DI10" s="22"/>
      <c r="DJ10" s="23"/>
      <c r="DK10" s="23"/>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5"/>
      <c r="ES10" s="25"/>
      <c r="ET10" s="25"/>
      <c r="EU10" s="25"/>
      <c r="EV10" s="25"/>
      <c r="EW10" s="25"/>
      <c r="EX10" s="25"/>
      <c r="EY10" s="25"/>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c r="XEX10" s="19"/>
      <c r="XEY10" s="19"/>
      <c r="XEZ10" s="19"/>
      <c r="XFA10" s="19"/>
      <c r="XFB10" s="19"/>
      <c r="XFC10" s="19"/>
    </row>
    <row r="11" spans="1:16383" s="19" customFormat="1">
      <c r="B11" s="432"/>
      <c r="C11" s="432"/>
      <c r="D11" s="432"/>
      <c r="E11" s="433"/>
      <c r="F11" s="433"/>
      <c r="G11" s="29"/>
      <c r="H11" s="29"/>
      <c r="I11" s="29"/>
      <c r="J11" s="29"/>
      <c r="K11" s="29"/>
      <c r="L11" s="29"/>
      <c r="M11" s="29"/>
      <c r="N11" s="29"/>
      <c r="O11" s="29"/>
      <c r="P11" s="29"/>
      <c r="Q11" s="29"/>
      <c r="R11" s="29"/>
      <c r="S11" s="29"/>
      <c r="T11" s="434"/>
      <c r="U11" s="29"/>
      <c r="V11" s="29"/>
      <c r="W11" s="29"/>
      <c r="X11" s="435"/>
      <c r="Y11" s="436"/>
      <c r="Z11" s="433"/>
      <c r="AA11" s="437"/>
      <c r="AB11" s="438"/>
      <c r="AC11" s="439"/>
      <c r="AD11" s="440"/>
      <c r="AE11" s="440"/>
      <c r="AF11" s="439"/>
      <c r="AG11" s="440"/>
      <c r="AH11" s="441"/>
      <c r="AI11" s="437"/>
      <c r="AJ11" s="442"/>
      <c r="AK11" s="439"/>
      <c r="AL11" s="443"/>
      <c r="AM11" s="443"/>
      <c r="AN11" s="439"/>
      <c r="AO11" s="440"/>
      <c r="AP11" s="433"/>
      <c r="AQ11" s="437"/>
      <c r="AR11" s="442"/>
      <c r="AS11" s="439"/>
      <c r="AT11" s="439"/>
      <c r="AU11" s="439"/>
      <c r="AV11" s="439"/>
      <c r="AW11" s="440"/>
      <c r="AX11" s="433"/>
      <c r="AY11" s="437"/>
      <c r="AZ11" s="442"/>
      <c r="BA11" s="439"/>
      <c r="BB11" s="440"/>
      <c r="BC11" s="439"/>
      <c r="BD11" s="440"/>
      <c r="BE11" s="433"/>
      <c r="BF11" s="437"/>
      <c r="BG11" s="442"/>
      <c r="BH11" s="439"/>
      <c r="BI11" s="440"/>
      <c r="BJ11" s="439"/>
      <c r="BK11" s="440"/>
      <c r="BL11" s="433"/>
      <c r="BM11" s="437"/>
      <c r="BN11" s="442"/>
      <c r="BO11" s="439"/>
      <c r="BP11" s="440"/>
      <c r="BQ11" s="440"/>
      <c r="BR11" s="439"/>
      <c r="BS11" s="440"/>
      <c r="BT11" s="433"/>
      <c r="BU11" s="437"/>
      <c r="BV11" s="442"/>
      <c r="BW11" s="439"/>
      <c r="BX11" s="440"/>
      <c r="BY11" s="439"/>
      <c r="BZ11" s="440"/>
      <c r="CA11" s="235"/>
      <c r="CB11" s="236"/>
      <c r="CC11" s="45"/>
      <c r="CD11" s="59"/>
      <c r="CE11" s="21"/>
      <c r="CF11" s="21"/>
      <c r="CG11" s="21"/>
      <c r="CH11" s="60"/>
      <c r="CI11" s="60"/>
      <c r="CJ11" s="60"/>
      <c r="CK11" s="34"/>
      <c r="CL11" s="34"/>
      <c r="CM11" s="34"/>
      <c r="CN11" s="34"/>
      <c r="CO11" s="34"/>
      <c r="CP11" s="34"/>
      <c r="CQ11" s="21"/>
      <c r="CR11" s="34"/>
      <c r="CS11" s="34"/>
      <c r="CT11" s="21"/>
      <c r="CU11" s="21"/>
      <c r="CV11" s="21"/>
      <c r="CW11" s="20"/>
      <c r="CX11" s="34"/>
      <c r="CY11" s="34"/>
      <c r="CZ11" s="20"/>
      <c r="DA11" s="20"/>
      <c r="DB11" s="20"/>
      <c r="DC11" s="20"/>
      <c r="DD11" s="34"/>
      <c r="DE11" s="34"/>
      <c r="DF11" s="20"/>
      <c r="DG11" s="20"/>
      <c r="DH11" s="20"/>
      <c r="DI11" s="22"/>
      <c r="DJ11" s="23"/>
      <c r="DK11" s="23"/>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5"/>
      <c r="ES11" s="25"/>
      <c r="ET11" s="25"/>
      <c r="EU11" s="25"/>
      <c r="EV11" s="25"/>
      <c r="EW11" s="25"/>
      <c r="EX11" s="25"/>
      <c r="EY11" s="25"/>
    </row>
    <row r="12" spans="1:16383" s="36" customFormat="1" ht="30.75" customHeight="1">
      <c r="A12" s="19"/>
      <c r="B12" s="534" t="s">
        <v>155</v>
      </c>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5"/>
      <c r="AY12" s="535"/>
      <c r="AZ12" s="535"/>
      <c r="BA12" s="535"/>
      <c r="BB12" s="535"/>
      <c r="BC12" s="535"/>
      <c r="BD12" s="535"/>
      <c r="BE12" s="535"/>
      <c r="BF12" s="535"/>
      <c r="BG12" s="535"/>
      <c r="BH12" s="535"/>
      <c r="BI12" s="535"/>
      <c r="BJ12" s="535"/>
      <c r="BK12" s="535"/>
      <c r="BL12" s="535"/>
      <c r="BM12" s="535"/>
      <c r="BN12" s="535"/>
      <c r="BO12" s="535"/>
      <c r="BP12" s="535"/>
      <c r="BQ12" s="535"/>
      <c r="BR12" s="535"/>
      <c r="BS12" s="535"/>
      <c r="BT12" s="535"/>
      <c r="BU12" s="535"/>
      <c r="BV12" s="535"/>
      <c r="BW12" s="535"/>
      <c r="BX12" s="535"/>
      <c r="BY12" s="535"/>
      <c r="BZ12" s="535"/>
      <c r="CA12" s="535"/>
      <c r="CB12" s="536"/>
      <c r="CC12" s="45"/>
      <c r="CE12" s="46"/>
      <c r="CF12" s="46"/>
      <c r="CG12" s="46"/>
      <c r="CH12" s="47"/>
      <c r="CI12" s="47"/>
      <c r="CJ12" s="47"/>
      <c r="CK12" s="46"/>
      <c r="CL12" s="46"/>
      <c r="CM12" s="46"/>
      <c r="CN12" s="46"/>
      <c r="CO12" s="46"/>
      <c r="CP12" s="46"/>
      <c r="CQ12" s="46"/>
      <c r="CR12" s="46"/>
      <c r="CS12" s="46"/>
      <c r="CT12" s="46"/>
      <c r="CU12" s="46"/>
      <c r="CV12" s="46"/>
      <c r="CW12" s="48"/>
      <c r="CX12" s="46"/>
      <c r="CY12" s="46"/>
      <c r="CZ12" s="48"/>
      <c r="DA12" s="48"/>
      <c r="DB12" s="48"/>
      <c r="DC12" s="48"/>
      <c r="DD12" s="46"/>
      <c r="DE12" s="46"/>
      <c r="DF12" s="48"/>
      <c r="DG12" s="48"/>
      <c r="DH12" s="48"/>
      <c r="DI12" s="49"/>
      <c r="DJ12" s="50"/>
      <c r="DK12" s="50"/>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8"/>
      <c r="ES12" s="38"/>
      <c r="ET12" s="38"/>
      <c r="EU12" s="38"/>
      <c r="EV12" s="38"/>
      <c r="EW12" s="38"/>
      <c r="EX12" s="38"/>
      <c r="EY12" s="38"/>
    </row>
    <row r="13" spans="1:16383" s="36" customFormat="1" ht="25.5" customHeight="1">
      <c r="A13" s="19"/>
      <c r="B13" s="537" t="s">
        <v>156</v>
      </c>
      <c r="C13" s="538"/>
      <c r="D13" s="538"/>
      <c r="E13" s="538"/>
      <c r="F13" s="538"/>
      <c r="G13" s="538"/>
      <c r="H13" s="538"/>
      <c r="I13" s="538"/>
      <c r="J13" s="538"/>
      <c r="K13" s="538"/>
      <c r="L13" s="538"/>
      <c r="M13" s="538"/>
      <c r="N13" s="538"/>
      <c r="O13" s="538"/>
      <c r="P13" s="538"/>
      <c r="Q13" s="538"/>
      <c r="R13" s="538"/>
      <c r="S13" s="538"/>
      <c r="T13" s="538"/>
      <c r="U13" s="538"/>
      <c r="V13" s="538"/>
      <c r="W13" s="538"/>
      <c r="X13" s="538"/>
      <c r="Y13" s="538"/>
      <c r="Z13" s="538"/>
      <c r="AA13" s="538"/>
      <c r="AB13" s="538"/>
      <c r="AC13" s="538"/>
      <c r="AD13" s="538"/>
      <c r="AE13" s="538"/>
      <c r="AF13" s="538"/>
      <c r="AG13" s="538"/>
      <c r="AH13" s="538"/>
      <c r="AI13" s="538"/>
      <c r="AJ13" s="538"/>
      <c r="AK13" s="538"/>
      <c r="AL13" s="538"/>
      <c r="AM13" s="538"/>
      <c r="AN13" s="538"/>
      <c r="AO13" s="538"/>
      <c r="AP13" s="538"/>
      <c r="AQ13" s="538"/>
      <c r="AR13" s="538"/>
      <c r="AS13" s="538"/>
      <c r="AT13" s="538"/>
      <c r="AU13" s="538"/>
      <c r="AV13" s="538"/>
      <c r="AW13" s="538"/>
      <c r="AX13" s="538"/>
      <c r="AY13" s="538"/>
      <c r="AZ13" s="538"/>
      <c r="BA13" s="538"/>
      <c r="BB13" s="538"/>
      <c r="BC13" s="538"/>
      <c r="BD13" s="538"/>
      <c r="BE13" s="538"/>
      <c r="BF13" s="538"/>
      <c r="BG13" s="538"/>
      <c r="BH13" s="538"/>
      <c r="BI13" s="538"/>
      <c r="BJ13" s="538"/>
      <c r="BK13" s="538"/>
      <c r="BL13" s="538"/>
      <c r="BM13" s="538"/>
      <c r="BN13" s="538"/>
      <c r="BO13" s="538"/>
      <c r="BP13" s="538"/>
      <c r="BQ13" s="538"/>
      <c r="BR13" s="538"/>
      <c r="BS13" s="538"/>
      <c r="BT13" s="538"/>
      <c r="BU13" s="538"/>
      <c r="BV13" s="538"/>
      <c r="BW13" s="538"/>
      <c r="BX13" s="538"/>
      <c r="BY13" s="538"/>
      <c r="BZ13" s="538"/>
      <c r="CA13" s="538"/>
      <c r="CB13" s="539"/>
      <c r="CC13" s="45"/>
      <c r="CE13" s="46"/>
      <c r="CF13" s="46"/>
      <c r="CG13" s="46"/>
      <c r="CH13" s="47"/>
      <c r="CI13" s="47"/>
      <c r="CJ13" s="47"/>
      <c r="CK13" s="46"/>
      <c r="CL13" s="46"/>
      <c r="CM13" s="46"/>
      <c r="CN13" s="46"/>
      <c r="CO13" s="46"/>
      <c r="CP13" s="46"/>
      <c r="CQ13" s="46"/>
      <c r="CR13" s="46"/>
      <c r="CS13" s="46"/>
      <c r="CT13" s="46"/>
      <c r="CU13" s="46"/>
      <c r="CV13" s="46"/>
      <c r="CW13" s="48"/>
      <c r="CX13" s="46"/>
      <c r="CY13" s="46"/>
      <c r="CZ13" s="48"/>
      <c r="DA13" s="48"/>
      <c r="DB13" s="48"/>
      <c r="DC13" s="48"/>
      <c r="DD13" s="46"/>
      <c r="DE13" s="46"/>
      <c r="DF13" s="48"/>
      <c r="DG13" s="48"/>
      <c r="DH13" s="48"/>
      <c r="DI13" s="49"/>
      <c r="DJ13" s="50"/>
      <c r="DK13" s="50"/>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8"/>
      <c r="ES13" s="38"/>
      <c r="ET13" s="38"/>
      <c r="EU13" s="38"/>
      <c r="EV13" s="38"/>
      <c r="EW13" s="38"/>
      <c r="EX13" s="38"/>
      <c r="EY13" s="38"/>
    </row>
    <row r="14" spans="1:16383" s="36" customFormat="1" ht="49.5" customHeight="1">
      <c r="A14" s="19"/>
      <c r="B14" s="546" t="s">
        <v>157</v>
      </c>
      <c r="C14" s="544" t="s">
        <v>158</v>
      </c>
      <c r="D14" s="544" t="s">
        <v>159</v>
      </c>
      <c r="E14" s="540" t="s">
        <v>160</v>
      </c>
      <c r="F14" s="540" t="s">
        <v>161</v>
      </c>
      <c r="G14" s="540"/>
      <c r="H14" s="540"/>
      <c r="I14" s="540"/>
      <c r="J14" s="540"/>
      <c r="K14" s="540"/>
      <c r="L14" s="540"/>
      <c r="M14" s="540"/>
      <c r="N14" s="540"/>
      <c r="O14" s="540"/>
      <c r="P14" s="540"/>
      <c r="Q14" s="540"/>
      <c r="R14" s="540"/>
      <c r="S14" s="540"/>
      <c r="T14" s="540"/>
      <c r="U14" s="540" t="s">
        <v>162</v>
      </c>
      <c r="V14" s="540"/>
      <c r="W14" s="540"/>
      <c r="X14" s="540"/>
      <c r="Y14" s="540"/>
      <c r="Z14" s="541" t="s">
        <v>163</v>
      </c>
      <c r="AA14" s="541"/>
      <c r="AB14" s="541"/>
      <c r="AC14" s="541"/>
      <c r="AD14" s="541"/>
      <c r="AE14" s="541"/>
      <c r="AF14" s="541"/>
      <c r="AG14" s="541"/>
      <c r="AH14" s="541" t="s">
        <v>164</v>
      </c>
      <c r="AI14" s="541"/>
      <c r="AJ14" s="541"/>
      <c r="AK14" s="541"/>
      <c r="AL14" s="541"/>
      <c r="AM14" s="541"/>
      <c r="AN14" s="541"/>
      <c r="AO14" s="541"/>
      <c r="AP14" s="541" t="s">
        <v>165</v>
      </c>
      <c r="AQ14" s="541"/>
      <c r="AR14" s="541"/>
      <c r="AS14" s="541"/>
      <c r="AT14" s="541"/>
      <c r="AU14" s="541"/>
      <c r="AV14" s="541"/>
      <c r="AW14" s="541"/>
      <c r="AX14" s="541" t="s">
        <v>166</v>
      </c>
      <c r="AY14" s="541"/>
      <c r="AZ14" s="541"/>
      <c r="BA14" s="541"/>
      <c r="BB14" s="541"/>
      <c r="BC14" s="541"/>
      <c r="BD14" s="541"/>
      <c r="BE14" s="541" t="s">
        <v>167</v>
      </c>
      <c r="BF14" s="541"/>
      <c r="BG14" s="541"/>
      <c r="BH14" s="541"/>
      <c r="BI14" s="541"/>
      <c r="BJ14" s="541"/>
      <c r="BK14" s="541"/>
      <c r="BL14" s="541" t="s">
        <v>168</v>
      </c>
      <c r="BM14" s="541"/>
      <c r="BN14" s="541"/>
      <c r="BO14" s="541"/>
      <c r="BP14" s="541"/>
      <c r="BQ14" s="541"/>
      <c r="BR14" s="541"/>
      <c r="BS14" s="541"/>
      <c r="BT14" s="541" t="s">
        <v>169</v>
      </c>
      <c r="BU14" s="541"/>
      <c r="BV14" s="541"/>
      <c r="BW14" s="541"/>
      <c r="BX14" s="541"/>
      <c r="BY14" s="541"/>
      <c r="BZ14" s="541"/>
      <c r="CA14" s="542" t="s">
        <v>170</v>
      </c>
      <c r="CB14" s="543" t="s">
        <v>41</v>
      </c>
      <c r="CC14" s="45"/>
      <c r="CE14" s="46"/>
      <c r="CF14" s="46"/>
      <c r="CG14" s="46"/>
      <c r="CH14" s="47"/>
      <c r="CI14" s="47"/>
      <c r="CJ14" s="47"/>
      <c r="CK14" s="46"/>
      <c r="CL14" s="46"/>
      <c r="CM14" s="46"/>
      <c r="CN14" s="46"/>
      <c r="CO14" s="46"/>
      <c r="CP14" s="46"/>
      <c r="CQ14" s="46"/>
      <c r="CR14" s="46"/>
      <c r="CS14" s="46"/>
      <c r="CT14" s="46"/>
      <c r="CU14" s="46"/>
      <c r="CV14" s="46"/>
      <c r="CW14" s="48"/>
      <c r="CX14" s="46"/>
      <c r="CY14" s="46"/>
      <c r="CZ14" s="48"/>
      <c r="DA14" s="48"/>
      <c r="DB14" s="48"/>
      <c r="DC14" s="48"/>
      <c r="DD14" s="46"/>
      <c r="DE14" s="46"/>
      <c r="DF14" s="48"/>
      <c r="DG14" s="48"/>
      <c r="DH14" s="48"/>
      <c r="DI14" s="49"/>
      <c r="DJ14" s="50"/>
      <c r="DK14" s="50"/>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8"/>
      <c r="ES14" s="38"/>
      <c r="ET14" s="38"/>
      <c r="EU14" s="38"/>
      <c r="EV14" s="38"/>
      <c r="EW14" s="38"/>
      <c r="EX14" s="38"/>
      <c r="EY14" s="38"/>
    </row>
    <row r="15" spans="1:16383" s="36" customFormat="1" ht="75" customHeight="1">
      <c r="A15" s="19"/>
      <c r="B15" s="547"/>
      <c r="C15" s="545"/>
      <c r="D15" s="545"/>
      <c r="E15" s="540"/>
      <c r="F15" s="444" t="s">
        <v>171</v>
      </c>
      <c r="G15" s="444" t="s">
        <v>172</v>
      </c>
      <c r="H15" s="444" t="s">
        <v>173</v>
      </c>
      <c r="I15" s="444" t="s">
        <v>174</v>
      </c>
      <c r="J15" s="444" t="s">
        <v>175</v>
      </c>
      <c r="K15" s="444" t="s">
        <v>176</v>
      </c>
      <c r="L15" s="444" t="s">
        <v>177</v>
      </c>
      <c r="M15" s="444" t="s">
        <v>178</v>
      </c>
      <c r="N15" s="444" t="s">
        <v>179</v>
      </c>
      <c r="O15" s="444" t="s">
        <v>180</v>
      </c>
      <c r="P15" s="444" t="s">
        <v>181</v>
      </c>
      <c r="Q15" s="444" t="s">
        <v>182</v>
      </c>
      <c r="R15" s="444" t="s">
        <v>183</v>
      </c>
      <c r="S15" s="444" t="s">
        <v>184</v>
      </c>
      <c r="T15" s="444" t="s">
        <v>185</v>
      </c>
      <c r="U15" s="444" t="s">
        <v>186</v>
      </c>
      <c r="V15" s="444" t="s">
        <v>187</v>
      </c>
      <c r="W15" s="444" t="s">
        <v>188</v>
      </c>
      <c r="X15" s="445" t="s">
        <v>189</v>
      </c>
      <c r="Y15" s="237" t="s">
        <v>162</v>
      </c>
      <c r="Z15" s="542" t="s">
        <v>190</v>
      </c>
      <c r="AA15" s="542"/>
      <c r="AB15" s="446" t="s">
        <v>191</v>
      </c>
      <c r="AC15" s="444" t="s">
        <v>192</v>
      </c>
      <c r="AD15" s="447" t="s">
        <v>193</v>
      </c>
      <c r="AE15" s="447" t="s">
        <v>193</v>
      </c>
      <c r="AF15" s="237" t="s">
        <v>194</v>
      </c>
      <c r="AG15" s="447" t="s">
        <v>195</v>
      </c>
      <c r="AH15" s="542" t="s">
        <v>196</v>
      </c>
      <c r="AI15" s="542"/>
      <c r="AJ15" s="446" t="s">
        <v>191</v>
      </c>
      <c r="AK15" s="237" t="s">
        <v>197</v>
      </c>
      <c r="AL15" s="448" t="s">
        <v>198</v>
      </c>
      <c r="AM15" s="448" t="s">
        <v>199</v>
      </c>
      <c r="AN15" s="237" t="s">
        <v>200</v>
      </c>
      <c r="AO15" s="447" t="s">
        <v>195</v>
      </c>
      <c r="AP15" s="542" t="s">
        <v>201</v>
      </c>
      <c r="AQ15" s="542"/>
      <c r="AR15" s="446" t="s">
        <v>191</v>
      </c>
      <c r="AS15" s="237" t="s">
        <v>202</v>
      </c>
      <c r="AT15" s="444" t="s">
        <v>203</v>
      </c>
      <c r="AU15" s="444" t="s">
        <v>204</v>
      </c>
      <c r="AV15" s="237" t="s">
        <v>205</v>
      </c>
      <c r="AW15" s="447" t="s">
        <v>195</v>
      </c>
      <c r="AX15" s="542" t="s">
        <v>206</v>
      </c>
      <c r="AY15" s="542"/>
      <c r="AZ15" s="446" t="s">
        <v>191</v>
      </c>
      <c r="BA15" s="237" t="s">
        <v>207</v>
      </c>
      <c r="BB15" s="447" t="s">
        <v>208</v>
      </c>
      <c r="BC15" s="237" t="s">
        <v>209</v>
      </c>
      <c r="BD15" s="447" t="s">
        <v>195</v>
      </c>
      <c r="BE15" s="542" t="s">
        <v>210</v>
      </c>
      <c r="BF15" s="542"/>
      <c r="BG15" s="446" t="s">
        <v>191</v>
      </c>
      <c r="BH15" s="237" t="s">
        <v>211</v>
      </c>
      <c r="BI15" s="447" t="s">
        <v>212</v>
      </c>
      <c r="BJ15" s="237" t="s">
        <v>213</v>
      </c>
      <c r="BK15" s="447" t="s">
        <v>195</v>
      </c>
      <c r="BL15" s="542" t="s">
        <v>214</v>
      </c>
      <c r="BM15" s="542"/>
      <c r="BN15" s="446" t="s">
        <v>191</v>
      </c>
      <c r="BO15" s="237" t="s">
        <v>215</v>
      </c>
      <c r="BP15" s="447" t="s">
        <v>216</v>
      </c>
      <c r="BQ15" s="447" t="s">
        <v>217</v>
      </c>
      <c r="BR15" s="237" t="s">
        <v>218</v>
      </c>
      <c r="BS15" s="447" t="s">
        <v>195</v>
      </c>
      <c r="BT15" s="542" t="s">
        <v>219</v>
      </c>
      <c r="BU15" s="542"/>
      <c r="BV15" s="446" t="s">
        <v>191</v>
      </c>
      <c r="BW15" s="237" t="s">
        <v>220</v>
      </c>
      <c r="BX15" s="447" t="s">
        <v>221</v>
      </c>
      <c r="BY15" s="237" t="s">
        <v>222</v>
      </c>
      <c r="BZ15" s="447" t="s">
        <v>195</v>
      </c>
      <c r="CA15" s="542"/>
      <c r="CB15" s="543"/>
      <c r="CC15" s="45" t="s">
        <v>223</v>
      </c>
      <c r="CE15" s="46"/>
      <c r="CF15" s="46"/>
      <c r="CG15" s="46"/>
      <c r="CH15" s="47"/>
      <c r="CI15" s="47"/>
      <c r="CJ15" s="47"/>
      <c r="CK15" s="46"/>
      <c r="CL15" s="46"/>
      <c r="CM15" s="46"/>
      <c r="CN15" s="46"/>
      <c r="CO15" s="46"/>
      <c r="CP15" s="46"/>
      <c r="CQ15" s="46"/>
      <c r="CR15" s="46"/>
      <c r="CS15" s="46"/>
      <c r="CT15" s="46"/>
      <c r="CU15" s="46"/>
      <c r="CV15" s="46"/>
      <c r="CW15" s="48"/>
      <c r="CX15" s="46"/>
      <c r="CY15" s="46"/>
      <c r="CZ15" s="48"/>
      <c r="DA15" s="48"/>
      <c r="DB15" s="48"/>
      <c r="DC15" s="48"/>
      <c r="DD15" s="46"/>
      <c r="DE15" s="46"/>
      <c r="DF15" s="48"/>
      <c r="DG15" s="48"/>
      <c r="DH15" s="48"/>
      <c r="DI15" s="49"/>
      <c r="DJ15" s="50"/>
      <c r="DK15" s="50"/>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8"/>
      <c r="ES15" s="38"/>
      <c r="ET15" s="38"/>
      <c r="EU15" s="38"/>
      <c r="EV15" s="38"/>
      <c r="EW15" s="38"/>
      <c r="EX15" s="38"/>
      <c r="EY15" s="38"/>
    </row>
    <row r="16" spans="1:16383" ht="15" customHeight="1">
      <c r="B16" s="238" t="s">
        <v>224</v>
      </c>
      <c r="C16" s="239"/>
      <c r="D16" s="239"/>
      <c r="E16" s="240"/>
      <c r="F16" s="241">
        <f t="shared" ref="F16:F23" si="0">VLOOKUP($E16,$CD$138:$DH$504,2,FALSE)</f>
        <v>0</v>
      </c>
      <c r="G16" s="239"/>
      <c r="H16" s="239"/>
      <c r="I16" s="239"/>
      <c r="J16" s="239"/>
      <c r="K16" s="239"/>
      <c r="L16" s="239"/>
      <c r="M16" s="239"/>
      <c r="N16" s="239"/>
      <c r="O16" s="239"/>
      <c r="P16" s="239"/>
      <c r="Q16" s="239"/>
      <c r="R16" s="239"/>
      <c r="S16" s="242">
        <f t="shared" ref="S16:S23" si="1">SUM(G16:R16)</f>
        <v>0</v>
      </c>
      <c r="T16" s="243">
        <f t="shared" ref="T16:T23" si="2">COUNT(G16:R16)</f>
        <v>0</v>
      </c>
      <c r="U16" s="242">
        <f t="shared" ref="U16:U17" si="3">IF(T16&gt;1,AVERAGE(G16:R16),0)</f>
        <v>0</v>
      </c>
      <c r="V16" s="242">
        <f t="shared" ref="V16:V17" si="4">IF(T16&gt;1,STDEV(G16:R16),0)</f>
        <v>0</v>
      </c>
      <c r="W16" s="242">
        <f t="shared" ref="W16:W23" si="5">IF(T16&gt;1,VLOOKUP($T16,$CD$414:$CE$426,2,FALSE),0)</f>
        <v>0</v>
      </c>
      <c r="X16" s="244"/>
      <c r="Y16" s="449">
        <f t="shared" ref="Y16:Y23" si="6">IF(X16&gt;0,X16,IF(T16&gt;1,1-((U16-((V16*W16)/(SQRT(T16))))/U16),VLOOKUP($E16,$CD$138:$DK$504,34,FALSE)))</f>
        <v>0</v>
      </c>
      <c r="Z16" s="245">
        <f t="shared" ref="Z16:Z23" si="7">VLOOKUP($E16,$CD$138:$DH$504,3,FALSE)</f>
        <v>0</v>
      </c>
      <c r="AA16" s="246">
        <f t="shared" ref="AA16:AA23" si="8">VLOOKUP($E16,$CD$138:$DH$504,4,FALSE)</f>
        <v>0</v>
      </c>
      <c r="AB16" s="450">
        <f t="shared" ref="AB16:AB23" si="9">IF($S16&gt;0,VLOOKUP($E16,$CD$138:$DH$504,7,FALSE),0)</f>
        <v>0</v>
      </c>
      <c r="AC16" s="449">
        <f t="shared" ref="AC16:AC23" si="10">IF($S16&gt;0,VLOOKUP($E16,$CD$138:$DH$504,6,FALSE),0)</f>
        <v>0</v>
      </c>
      <c r="AD16" s="451">
        <f t="shared" ref="AD16:AD23" si="11">($S16*Z16)/1000</f>
        <v>0</v>
      </c>
      <c r="AE16" s="451">
        <f t="shared" ref="AE16:AE23" si="12">AD16*$CE$432</f>
        <v>0</v>
      </c>
      <c r="AF16" s="449">
        <f>IF(AD16&gt;0,SQRT(($Y16*$Y16)+(AC16*AC16)),0)</f>
        <v>0</v>
      </c>
      <c r="AG16" s="451">
        <f>(AE16*AF16)^2</f>
        <v>0</v>
      </c>
      <c r="AH16" s="247">
        <f t="shared" ref="AH16:AH23" si="13">VLOOKUP($E16,$CD$138:$DH$504,21,FALSE)</f>
        <v>0</v>
      </c>
      <c r="AI16" s="246">
        <f t="shared" ref="AI16:AI23" si="14">VLOOKUP($E16,$CD$138:$DH$504,22,FALSE)</f>
        <v>0</v>
      </c>
      <c r="AJ16" s="450">
        <f t="shared" ref="AJ16:AJ23" si="15">IF($S16&gt;0,VLOOKUP($E16,$CD$138:$DH$504,25,FALSE),0)</f>
        <v>0</v>
      </c>
      <c r="AK16" s="449">
        <f t="shared" ref="AK16:AK23" si="16">IF($S16&gt;0,VLOOKUP($E16,$CD$138:$DH$504,24,FALSE),0)</f>
        <v>0</v>
      </c>
      <c r="AL16" s="452">
        <f>($S16*AH16)/1000</f>
        <v>0</v>
      </c>
      <c r="AM16" s="452">
        <f t="shared" ref="AM16:AM23" si="17">AL16*$CE$433</f>
        <v>0</v>
      </c>
      <c r="AN16" s="449">
        <f>IF(AL16&gt;0,SQRT(($Y16*$Y16)+(AK16*AK16)),0)</f>
        <v>0</v>
      </c>
      <c r="AO16" s="451">
        <f>(AM16*AN16)^2</f>
        <v>0</v>
      </c>
      <c r="AP16" s="247">
        <f t="shared" ref="AP16:AP23" si="18">VLOOKUP($E16,$CD$138:$DH$504,27,FALSE)</f>
        <v>0</v>
      </c>
      <c r="AQ16" s="246">
        <f t="shared" ref="AQ16:AQ23" si="19">VLOOKUP($E16,$CD$138:$DH$504,28,FALSE)</f>
        <v>0</v>
      </c>
      <c r="AR16" s="450">
        <f t="shared" ref="AR16:AR23" si="20">IF($S16&gt;0,VLOOKUP($E16,$CD$138:$DH$504,31,FALSE),0)</f>
        <v>0</v>
      </c>
      <c r="AS16" s="449">
        <f t="shared" ref="AS16:AS23" si="21">IF($S16&gt;0,VLOOKUP($E16,$CD$138:$DH$504,30,FALSE),0)</f>
        <v>0</v>
      </c>
      <c r="AT16" s="452">
        <f>($S16*AP16)/1000</f>
        <v>0</v>
      </c>
      <c r="AU16" s="452">
        <f t="shared" ref="AU16:AU23" si="22">AT16*$CE$434</f>
        <v>0</v>
      </c>
      <c r="AV16" s="449">
        <f>IF(AT16&gt;0,SQRT(($Y16*$Y16)+(AS16*AS16)),0)</f>
        <v>0</v>
      </c>
      <c r="AW16" s="451">
        <f>(AU16*AV16)^2</f>
        <v>0</v>
      </c>
      <c r="AX16" s="248">
        <v>0</v>
      </c>
      <c r="AY16" s="246">
        <v>0</v>
      </c>
      <c r="AZ16" s="450">
        <v>0</v>
      </c>
      <c r="BA16" s="449">
        <v>0</v>
      </c>
      <c r="BB16" s="452">
        <f t="shared" ref="BB16:BB23" si="23">($S16*AX16)/1000</f>
        <v>0</v>
      </c>
      <c r="BC16" s="449">
        <f>IF(BB16&gt;0,SQRT(($Y16*$Y16)+(BA16*BA16)),0)</f>
        <v>0</v>
      </c>
      <c r="BD16" s="451">
        <f>(BB16*BC16)^2</f>
        <v>0</v>
      </c>
      <c r="BE16" s="248">
        <v>0</v>
      </c>
      <c r="BF16" s="246">
        <v>0</v>
      </c>
      <c r="BG16" s="450">
        <v>0</v>
      </c>
      <c r="BH16" s="449">
        <v>0</v>
      </c>
      <c r="BI16" s="452">
        <f t="shared" ref="BI16:BI23" si="24">($S16*BE16)/1000</f>
        <v>0</v>
      </c>
      <c r="BJ16" s="449">
        <f>IF(BI16&gt;0,SQRT(($Y16*$Y16)+(BH16*BH16)),0)</f>
        <v>0</v>
      </c>
      <c r="BK16" s="451">
        <f>(BI16*BJ16)^2</f>
        <v>0</v>
      </c>
      <c r="BL16" s="248">
        <v>0</v>
      </c>
      <c r="BM16" s="246">
        <v>0</v>
      </c>
      <c r="BN16" s="450">
        <v>0</v>
      </c>
      <c r="BO16" s="449">
        <v>0</v>
      </c>
      <c r="BP16" s="452">
        <f>($S16*BL16)/1000</f>
        <v>0</v>
      </c>
      <c r="BQ16" s="452">
        <f t="shared" ref="BQ16:BQ23" si="25">BP16*$CE$435</f>
        <v>0</v>
      </c>
      <c r="BR16" s="449">
        <f>IF(BP16&gt;0,SQRT(($Y16*$Y16)+(BO16*BO16)),0)</f>
        <v>0</v>
      </c>
      <c r="BS16" s="451">
        <f>(BQ16*BR16)^2</f>
        <v>0</v>
      </c>
      <c r="BT16" s="245">
        <f t="shared" ref="BT16:BT23" si="26">VLOOKUP($E16,$CD$138:$DI$504,32,FALSE)</f>
        <v>0</v>
      </c>
      <c r="BU16" s="246">
        <f t="shared" ref="BU16:BU23" si="27">VLOOKUP($E16,$CD$138:$DH$504,4,FALSE)</f>
        <v>0</v>
      </c>
      <c r="BV16" s="450">
        <f t="shared" ref="BV16:BV23" si="28">IF($S16&gt;0,VLOOKUP($E16,$CD$138:$DH$504,7,FALSE),0)</f>
        <v>0</v>
      </c>
      <c r="BW16" s="449">
        <f t="shared" ref="BW16:BW23" si="29">IF($S16&gt;0,VLOOKUP($E16,$CD$138:$DH$504,6,FALSE),0)</f>
        <v>0</v>
      </c>
      <c r="BX16" s="452">
        <f>($S16*BT16)/1000</f>
        <v>0</v>
      </c>
      <c r="BY16" s="449">
        <f>IF(BX16&gt;0,SQRT(($Y16*$Y16)+(BW16*BW16)),0)</f>
        <v>0</v>
      </c>
      <c r="BZ16" s="451">
        <f t="shared" ref="BZ16:BZ30" si="30">(BX16*BY16)^2</f>
        <v>0</v>
      </c>
      <c r="CA16" s="242">
        <f>IF(C16="EmisionesGEI",D16,AE16+AM16+AU16+BB16+BQ16)</f>
        <v>0</v>
      </c>
      <c r="CB16" s="453">
        <f t="shared" ref="CB16:CB23" si="31">IF(CA16&gt;0,SQRT(AG16+AO16+AW16+BD16+BS16)/CA16,0)</f>
        <v>0</v>
      </c>
      <c r="CC16" s="45">
        <f>(CA16*CB16)^2</f>
        <v>0</v>
      </c>
    </row>
    <row r="17" spans="1:155">
      <c r="B17" s="249" t="s">
        <v>225</v>
      </c>
      <c r="C17" s="239"/>
      <c r="D17" s="239"/>
      <c r="E17" s="240"/>
      <c r="F17" s="241">
        <f t="shared" si="0"/>
        <v>0</v>
      </c>
      <c r="G17" s="239"/>
      <c r="H17" s="239"/>
      <c r="I17" s="239"/>
      <c r="J17" s="239"/>
      <c r="K17" s="239"/>
      <c r="L17" s="239"/>
      <c r="M17" s="239"/>
      <c r="N17" s="239"/>
      <c r="O17" s="239"/>
      <c r="P17" s="239"/>
      <c r="Q17" s="239"/>
      <c r="R17" s="239"/>
      <c r="S17" s="242">
        <f t="shared" si="1"/>
        <v>0</v>
      </c>
      <c r="T17" s="243">
        <f t="shared" si="2"/>
        <v>0</v>
      </c>
      <c r="U17" s="242">
        <f t="shared" si="3"/>
        <v>0</v>
      </c>
      <c r="V17" s="242">
        <f t="shared" si="4"/>
        <v>0</v>
      </c>
      <c r="W17" s="242">
        <f t="shared" si="5"/>
        <v>0</v>
      </c>
      <c r="X17" s="244"/>
      <c r="Y17" s="449">
        <f t="shared" si="6"/>
        <v>0</v>
      </c>
      <c r="Z17" s="245">
        <f t="shared" si="7"/>
        <v>0</v>
      </c>
      <c r="AA17" s="246">
        <f t="shared" si="8"/>
        <v>0</v>
      </c>
      <c r="AB17" s="450">
        <f t="shared" si="9"/>
        <v>0</v>
      </c>
      <c r="AC17" s="449">
        <f t="shared" si="10"/>
        <v>0</v>
      </c>
      <c r="AD17" s="451">
        <f t="shared" si="11"/>
        <v>0</v>
      </c>
      <c r="AE17" s="451">
        <f t="shared" si="12"/>
        <v>0</v>
      </c>
      <c r="AF17" s="449">
        <f t="shared" ref="AF17:AF23" si="32">IF(AD17&gt;0,SQRT(($Y17*$Y17)+(AC17*AC17)),0)</f>
        <v>0</v>
      </c>
      <c r="AG17" s="451">
        <f t="shared" ref="AG17:AG24" si="33">(AE17*AF17)^2</f>
        <v>0</v>
      </c>
      <c r="AH17" s="247">
        <f t="shared" si="13"/>
        <v>0</v>
      </c>
      <c r="AI17" s="246">
        <f t="shared" si="14"/>
        <v>0</v>
      </c>
      <c r="AJ17" s="450">
        <f t="shared" si="15"/>
        <v>0</v>
      </c>
      <c r="AK17" s="449">
        <f t="shared" si="16"/>
        <v>0</v>
      </c>
      <c r="AL17" s="452">
        <f t="shared" ref="AL17:AL23" si="34">($S17*AH17)/1000</f>
        <v>0</v>
      </c>
      <c r="AM17" s="452">
        <f t="shared" si="17"/>
        <v>0</v>
      </c>
      <c r="AN17" s="449">
        <f t="shared" ref="AN17:AN23" si="35">IF(AL17&gt;0,SQRT(($Y17*$Y17)+(AK17*AK17)),0)</f>
        <v>0</v>
      </c>
      <c r="AO17" s="451">
        <f t="shared" ref="AO17:AO24" si="36">(AM17*AN17)^2</f>
        <v>0</v>
      </c>
      <c r="AP17" s="247">
        <f t="shared" si="18"/>
        <v>0</v>
      </c>
      <c r="AQ17" s="246">
        <f t="shared" si="19"/>
        <v>0</v>
      </c>
      <c r="AR17" s="450">
        <f t="shared" si="20"/>
        <v>0</v>
      </c>
      <c r="AS17" s="449">
        <f t="shared" si="21"/>
        <v>0</v>
      </c>
      <c r="AT17" s="452">
        <f t="shared" ref="AT17:AT23" si="37">($S17*AP17)/1000</f>
        <v>0</v>
      </c>
      <c r="AU17" s="452">
        <f t="shared" si="22"/>
        <v>0</v>
      </c>
      <c r="AV17" s="449">
        <f t="shared" ref="AV17:AV23" si="38">IF(AT17&gt;0,SQRT(($Y17*$Y17)+(AS17*AS17)),0)</f>
        <v>0</v>
      </c>
      <c r="AW17" s="451">
        <f t="shared" ref="AW17:AW24" si="39">(AU17*AV17)^2</f>
        <v>0</v>
      </c>
      <c r="AX17" s="248">
        <v>0</v>
      </c>
      <c r="AY17" s="246">
        <v>0</v>
      </c>
      <c r="AZ17" s="450">
        <v>0</v>
      </c>
      <c r="BA17" s="449">
        <v>0</v>
      </c>
      <c r="BB17" s="452">
        <f t="shared" si="23"/>
        <v>0</v>
      </c>
      <c r="BC17" s="449">
        <f t="shared" ref="BC17:BC23" si="40">IF(BB17&gt;0,SQRT(($Y17*$Y17)+(BA17*BA17)),0)</f>
        <v>0</v>
      </c>
      <c r="BD17" s="451">
        <f t="shared" ref="BD17:BD24" si="41">(BB17*BC17)^2</f>
        <v>0</v>
      </c>
      <c r="BE17" s="248">
        <v>0</v>
      </c>
      <c r="BF17" s="246">
        <v>0</v>
      </c>
      <c r="BG17" s="450">
        <v>0</v>
      </c>
      <c r="BH17" s="449">
        <v>0</v>
      </c>
      <c r="BI17" s="452">
        <f t="shared" si="24"/>
        <v>0</v>
      </c>
      <c r="BJ17" s="449">
        <f t="shared" ref="BJ17:BJ23" si="42">IF(BI17&gt;0,SQRT(($Y17*$Y17)+(BH17*BH17)),0)</f>
        <v>0</v>
      </c>
      <c r="BK17" s="451">
        <f t="shared" ref="BK17:BK30" si="43">(BI17*BJ17)^2</f>
        <v>0</v>
      </c>
      <c r="BL17" s="248">
        <v>0</v>
      </c>
      <c r="BM17" s="246">
        <v>0</v>
      </c>
      <c r="BN17" s="450">
        <v>0</v>
      </c>
      <c r="BO17" s="449">
        <v>0</v>
      </c>
      <c r="BP17" s="452">
        <f t="shared" ref="BP17:BP23" si="44">($S17*BL17)/1000</f>
        <v>0</v>
      </c>
      <c r="BQ17" s="452">
        <f t="shared" si="25"/>
        <v>0</v>
      </c>
      <c r="BR17" s="449">
        <f t="shared" ref="BR17:BR23" si="45">IF(BP17&gt;0,SQRT(($Y17*$Y17)+(BO17*BO17)),0)</f>
        <v>0</v>
      </c>
      <c r="BS17" s="451">
        <f t="shared" ref="BS17:BS24" si="46">(BQ17*BR17)^2</f>
        <v>0</v>
      </c>
      <c r="BT17" s="245">
        <f t="shared" si="26"/>
        <v>0</v>
      </c>
      <c r="BU17" s="246">
        <f t="shared" si="27"/>
        <v>0</v>
      </c>
      <c r="BV17" s="450">
        <f t="shared" si="28"/>
        <v>0</v>
      </c>
      <c r="BW17" s="449">
        <f t="shared" si="29"/>
        <v>0</v>
      </c>
      <c r="BX17" s="452">
        <f t="shared" ref="BX17:BX23" si="47">($S17*BT17)/1000</f>
        <v>0</v>
      </c>
      <c r="BY17" s="449">
        <f t="shared" ref="BY17:BY23" si="48">IF(BX17&gt;0,SQRT(($Y17*$Y17)+(BW17*BW17)),0)</f>
        <v>0</v>
      </c>
      <c r="BZ17" s="451">
        <f t="shared" si="30"/>
        <v>0</v>
      </c>
      <c r="CA17" s="242">
        <f t="shared" ref="CA17:CA23" si="49">IF(C17="EmisionesGEI",D17,AE17+AM17+AU17+BB17+BQ17)</f>
        <v>0</v>
      </c>
      <c r="CB17" s="453">
        <f t="shared" si="31"/>
        <v>0</v>
      </c>
      <c r="CC17" s="45">
        <f t="shared" ref="CC17:CC113" si="50">(CA17*CB17)^2</f>
        <v>0</v>
      </c>
    </row>
    <row r="18" spans="1:155">
      <c r="B18" s="249"/>
      <c r="C18" s="239"/>
      <c r="D18" s="239"/>
      <c r="E18" s="240"/>
      <c r="F18" s="241">
        <f t="shared" si="0"/>
        <v>0</v>
      </c>
      <c r="G18" s="239"/>
      <c r="H18" s="239"/>
      <c r="I18" s="239"/>
      <c r="J18" s="239"/>
      <c r="K18" s="239"/>
      <c r="L18" s="239"/>
      <c r="M18" s="239"/>
      <c r="N18" s="239"/>
      <c r="O18" s="239"/>
      <c r="P18" s="239"/>
      <c r="Q18" s="239"/>
      <c r="R18" s="239"/>
      <c r="S18" s="242">
        <f t="shared" si="1"/>
        <v>0</v>
      </c>
      <c r="T18" s="243">
        <f t="shared" si="2"/>
        <v>0</v>
      </c>
      <c r="U18" s="242">
        <f t="shared" ref="U18:U23" si="51">IF(T18&gt;1,AVERAGE(G18:R18),0)</f>
        <v>0</v>
      </c>
      <c r="V18" s="242">
        <f t="shared" ref="V18:V23" si="52">IF(T18&gt;1,STDEV(G18:R18),0)</f>
        <v>0</v>
      </c>
      <c r="W18" s="242">
        <f t="shared" si="5"/>
        <v>0</v>
      </c>
      <c r="X18" s="244"/>
      <c r="Y18" s="449">
        <f t="shared" si="6"/>
        <v>0</v>
      </c>
      <c r="Z18" s="245">
        <f t="shared" si="7"/>
        <v>0</v>
      </c>
      <c r="AA18" s="246">
        <f t="shared" si="8"/>
        <v>0</v>
      </c>
      <c r="AB18" s="450">
        <f t="shared" si="9"/>
        <v>0</v>
      </c>
      <c r="AC18" s="449">
        <f t="shared" si="10"/>
        <v>0</v>
      </c>
      <c r="AD18" s="451">
        <f t="shared" si="11"/>
        <v>0</v>
      </c>
      <c r="AE18" s="451">
        <f t="shared" si="12"/>
        <v>0</v>
      </c>
      <c r="AF18" s="449">
        <f t="shared" si="32"/>
        <v>0</v>
      </c>
      <c r="AG18" s="451">
        <f t="shared" si="33"/>
        <v>0</v>
      </c>
      <c r="AH18" s="250">
        <f t="shared" si="13"/>
        <v>0</v>
      </c>
      <c r="AI18" s="246">
        <f t="shared" si="14"/>
        <v>0</v>
      </c>
      <c r="AJ18" s="450">
        <f t="shared" si="15"/>
        <v>0</v>
      </c>
      <c r="AK18" s="449">
        <f t="shared" si="16"/>
        <v>0</v>
      </c>
      <c r="AL18" s="452">
        <f t="shared" si="34"/>
        <v>0</v>
      </c>
      <c r="AM18" s="452">
        <f t="shared" si="17"/>
        <v>0</v>
      </c>
      <c r="AN18" s="449">
        <f t="shared" si="35"/>
        <v>0</v>
      </c>
      <c r="AO18" s="451">
        <f t="shared" si="36"/>
        <v>0</v>
      </c>
      <c r="AP18" s="250">
        <f t="shared" si="18"/>
        <v>0</v>
      </c>
      <c r="AQ18" s="246">
        <f t="shared" si="19"/>
        <v>0</v>
      </c>
      <c r="AR18" s="450">
        <f t="shared" si="20"/>
        <v>0</v>
      </c>
      <c r="AS18" s="449">
        <f t="shared" si="21"/>
        <v>0</v>
      </c>
      <c r="AT18" s="452">
        <f t="shared" si="37"/>
        <v>0</v>
      </c>
      <c r="AU18" s="452">
        <f t="shared" si="22"/>
        <v>0</v>
      </c>
      <c r="AV18" s="449">
        <f t="shared" si="38"/>
        <v>0</v>
      </c>
      <c r="AW18" s="451">
        <f t="shared" si="39"/>
        <v>0</v>
      </c>
      <c r="AX18" s="248">
        <v>0</v>
      </c>
      <c r="AY18" s="246">
        <v>0</v>
      </c>
      <c r="AZ18" s="450">
        <v>0</v>
      </c>
      <c r="BA18" s="449">
        <v>0</v>
      </c>
      <c r="BB18" s="452">
        <f t="shared" si="23"/>
        <v>0</v>
      </c>
      <c r="BC18" s="449">
        <f t="shared" si="40"/>
        <v>0</v>
      </c>
      <c r="BD18" s="451">
        <f t="shared" si="41"/>
        <v>0</v>
      </c>
      <c r="BE18" s="248">
        <v>0</v>
      </c>
      <c r="BF18" s="246">
        <v>0</v>
      </c>
      <c r="BG18" s="450">
        <v>0</v>
      </c>
      <c r="BH18" s="449">
        <v>0</v>
      </c>
      <c r="BI18" s="452">
        <f t="shared" si="24"/>
        <v>0</v>
      </c>
      <c r="BJ18" s="449">
        <f t="shared" si="42"/>
        <v>0</v>
      </c>
      <c r="BK18" s="451">
        <f t="shared" si="43"/>
        <v>0</v>
      </c>
      <c r="BL18" s="248">
        <v>0</v>
      </c>
      <c r="BM18" s="246">
        <v>0</v>
      </c>
      <c r="BN18" s="450">
        <v>0</v>
      </c>
      <c r="BO18" s="449">
        <v>0</v>
      </c>
      <c r="BP18" s="452">
        <f t="shared" si="44"/>
        <v>0</v>
      </c>
      <c r="BQ18" s="452">
        <f t="shared" si="25"/>
        <v>0</v>
      </c>
      <c r="BR18" s="449">
        <f t="shared" si="45"/>
        <v>0</v>
      </c>
      <c r="BS18" s="451">
        <f t="shared" si="46"/>
        <v>0</v>
      </c>
      <c r="BT18" s="245">
        <f t="shared" si="26"/>
        <v>0</v>
      </c>
      <c r="BU18" s="246">
        <f t="shared" si="27"/>
        <v>0</v>
      </c>
      <c r="BV18" s="450">
        <f t="shared" si="28"/>
        <v>0</v>
      </c>
      <c r="BW18" s="449">
        <f t="shared" si="29"/>
        <v>0</v>
      </c>
      <c r="BX18" s="452">
        <f t="shared" si="47"/>
        <v>0</v>
      </c>
      <c r="BY18" s="449">
        <f t="shared" si="48"/>
        <v>0</v>
      </c>
      <c r="BZ18" s="451">
        <f t="shared" si="30"/>
        <v>0</v>
      </c>
      <c r="CA18" s="242">
        <f t="shared" si="49"/>
        <v>0</v>
      </c>
      <c r="CB18" s="453">
        <f t="shared" si="31"/>
        <v>0</v>
      </c>
      <c r="CC18" s="45">
        <f t="shared" si="50"/>
        <v>0</v>
      </c>
    </row>
    <row r="19" spans="1:155">
      <c r="B19" s="251"/>
      <c r="C19" s="239"/>
      <c r="D19" s="239"/>
      <c r="E19" s="240"/>
      <c r="F19" s="241">
        <f t="shared" si="0"/>
        <v>0</v>
      </c>
      <c r="G19" s="239"/>
      <c r="H19" s="239"/>
      <c r="I19" s="239"/>
      <c r="J19" s="239"/>
      <c r="K19" s="239"/>
      <c r="L19" s="239"/>
      <c r="M19" s="239"/>
      <c r="N19" s="239"/>
      <c r="O19" s="239"/>
      <c r="P19" s="239"/>
      <c r="Q19" s="239"/>
      <c r="R19" s="239"/>
      <c r="S19" s="242">
        <f t="shared" si="1"/>
        <v>0</v>
      </c>
      <c r="T19" s="243">
        <f t="shared" si="2"/>
        <v>0</v>
      </c>
      <c r="U19" s="242">
        <f t="shared" si="51"/>
        <v>0</v>
      </c>
      <c r="V19" s="242">
        <f t="shared" si="52"/>
        <v>0</v>
      </c>
      <c r="W19" s="242">
        <f t="shared" si="5"/>
        <v>0</v>
      </c>
      <c r="X19" s="244"/>
      <c r="Y19" s="449">
        <f t="shared" si="6"/>
        <v>0</v>
      </c>
      <c r="Z19" s="245">
        <f t="shared" si="7"/>
        <v>0</v>
      </c>
      <c r="AA19" s="246">
        <f t="shared" si="8"/>
        <v>0</v>
      </c>
      <c r="AB19" s="450">
        <f t="shared" si="9"/>
        <v>0</v>
      </c>
      <c r="AC19" s="449">
        <f t="shared" si="10"/>
        <v>0</v>
      </c>
      <c r="AD19" s="451">
        <f t="shared" si="11"/>
        <v>0</v>
      </c>
      <c r="AE19" s="451">
        <f t="shared" si="12"/>
        <v>0</v>
      </c>
      <c r="AF19" s="449">
        <f t="shared" si="32"/>
        <v>0</v>
      </c>
      <c r="AG19" s="451">
        <f t="shared" si="33"/>
        <v>0</v>
      </c>
      <c r="AH19" s="250">
        <f t="shared" si="13"/>
        <v>0</v>
      </c>
      <c r="AI19" s="246">
        <f t="shared" si="14"/>
        <v>0</v>
      </c>
      <c r="AJ19" s="450">
        <f t="shared" si="15"/>
        <v>0</v>
      </c>
      <c r="AK19" s="449">
        <f t="shared" si="16"/>
        <v>0</v>
      </c>
      <c r="AL19" s="452">
        <f t="shared" si="34"/>
        <v>0</v>
      </c>
      <c r="AM19" s="452">
        <f t="shared" si="17"/>
        <v>0</v>
      </c>
      <c r="AN19" s="449">
        <f t="shared" si="35"/>
        <v>0</v>
      </c>
      <c r="AO19" s="451">
        <f t="shared" si="36"/>
        <v>0</v>
      </c>
      <c r="AP19" s="250">
        <f t="shared" si="18"/>
        <v>0</v>
      </c>
      <c r="AQ19" s="246">
        <f t="shared" si="19"/>
        <v>0</v>
      </c>
      <c r="AR19" s="450">
        <f t="shared" si="20"/>
        <v>0</v>
      </c>
      <c r="AS19" s="449">
        <f t="shared" si="21"/>
        <v>0</v>
      </c>
      <c r="AT19" s="452">
        <f t="shared" si="37"/>
        <v>0</v>
      </c>
      <c r="AU19" s="452">
        <f t="shared" si="22"/>
        <v>0</v>
      </c>
      <c r="AV19" s="449">
        <f t="shared" si="38"/>
        <v>0</v>
      </c>
      <c r="AW19" s="451">
        <f t="shared" si="39"/>
        <v>0</v>
      </c>
      <c r="AX19" s="248">
        <v>0</v>
      </c>
      <c r="AY19" s="246">
        <v>0</v>
      </c>
      <c r="AZ19" s="450">
        <v>0</v>
      </c>
      <c r="BA19" s="449">
        <v>0</v>
      </c>
      <c r="BB19" s="452">
        <f t="shared" si="23"/>
        <v>0</v>
      </c>
      <c r="BC19" s="449">
        <f t="shared" si="40"/>
        <v>0</v>
      </c>
      <c r="BD19" s="451">
        <f t="shared" si="41"/>
        <v>0</v>
      </c>
      <c r="BE19" s="248">
        <v>0</v>
      </c>
      <c r="BF19" s="246">
        <v>0</v>
      </c>
      <c r="BG19" s="450">
        <v>0</v>
      </c>
      <c r="BH19" s="449">
        <v>0</v>
      </c>
      <c r="BI19" s="452">
        <f t="shared" si="24"/>
        <v>0</v>
      </c>
      <c r="BJ19" s="449">
        <f t="shared" si="42"/>
        <v>0</v>
      </c>
      <c r="BK19" s="451">
        <f t="shared" si="43"/>
        <v>0</v>
      </c>
      <c r="BL19" s="248">
        <v>0</v>
      </c>
      <c r="BM19" s="246">
        <v>0</v>
      </c>
      <c r="BN19" s="450">
        <v>0</v>
      </c>
      <c r="BO19" s="449">
        <v>0</v>
      </c>
      <c r="BP19" s="452">
        <f t="shared" si="44"/>
        <v>0</v>
      </c>
      <c r="BQ19" s="452">
        <f t="shared" si="25"/>
        <v>0</v>
      </c>
      <c r="BR19" s="449">
        <f t="shared" si="45"/>
        <v>0</v>
      </c>
      <c r="BS19" s="451">
        <f t="shared" si="46"/>
        <v>0</v>
      </c>
      <c r="BT19" s="245">
        <f t="shared" si="26"/>
        <v>0</v>
      </c>
      <c r="BU19" s="246">
        <f t="shared" si="27"/>
        <v>0</v>
      </c>
      <c r="BV19" s="450">
        <f t="shared" si="28"/>
        <v>0</v>
      </c>
      <c r="BW19" s="449">
        <f t="shared" si="29"/>
        <v>0</v>
      </c>
      <c r="BX19" s="452">
        <f t="shared" si="47"/>
        <v>0</v>
      </c>
      <c r="BY19" s="449">
        <f t="shared" si="48"/>
        <v>0</v>
      </c>
      <c r="BZ19" s="451">
        <f t="shared" si="30"/>
        <v>0</v>
      </c>
      <c r="CA19" s="242">
        <f t="shared" si="49"/>
        <v>0</v>
      </c>
      <c r="CB19" s="453">
        <f t="shared" si="31"/>
        <v>0</v>
      </c>
      <c r="CC19" s="45">
        <f t="shared" si="50"/>
        <v>0</v>
      </c>
    </row>
    <row r="20" spans="1:155" ht="15" customHeight="1">
      <c r="B20" s="238" t="s">
        <v>226</v>
      </c>
      <c r="C20" s="239"/>
      <c r="D20" s="239"/>
      <c r="E20" s="240"/>
      <c r="F20" s="241">
        <f t="shared" si="0"/>
        <v>0</v>
      </c>
      <c r="G20" s="239"/>
      <c r="H20" s="239"/>
      <c r="I20" s="239"/>
      <c r="J20" s="239"/>
      <c r="K20" s="239"/>
      <c r="L20" s="239"/>
      <c r="M20" s="239"/>
      <c r="N20" s="239"/>
      <c r="O20" s="239"/>
      <c r="P20" s="239"/>
      <c r="Q20" s="239"/>
      <c r="R20" s="239"/>
      <c r="S20" s="242">
        <f t="shared" si="1"/>
        <v>0</v>
      </c>
      <c r="T20" s="243">
        <f t="shared" si="2"/>
        <v>0</v>
      </c>
      <c r="U20" s="242">
        <f t="shared" si="51"/>
        <v>0</v>
      </c>
      <c r="V20" s="242">
        <f t="shared" si="52"/>
        <v>0</v>
      </c>
      <c r="W20" s="242">
        <f t="shared" si="5"/>
        <v>0</v>
      </c>
      <c r="X20" s="244"/>
      <c r="Y20" s="449">
        <f t="shared" si="6"/>
        <v>0</v>
      </c>
      <c r="Z20" s="245">
        <f t="shared" si="7"/>
        <v>0</v>
      </c>
      <c r="AA20" s="246">
        <f t="shared" si="8"/>
        <v>0</v>
      </c>
      <c r="AB20" s="450">
        <f t="shared" si="9"/>
        <v>0</v>
      </c>
      <c r="AC20" s="449">
        <f t="shared" si="10"/>
        <v>0</v>
      </c>
      <c r="AD20" s="451">
        <f t="shared" si="11"/>
        <v>0</v>
      </c>
      <c r="AE20" s="454">
        <f t="shared" si="12"/>
        <v>0</v>
      </c>
      <c r="AF20" s="449">
        <f t="shared" si="32"/>
        <v>0</v>
      </c>
      <c r="AG20" s="451">
        <f t="shared" si="33"/>
        <v>0</v>
      </c>
      <c r="AH20" s="250">
        <f t="shared" si="13"/>
        <v>0</v>
      </c>
      <c r="AI20" s="246">
        <f t="shared" si="14"/>
        <v>0</v>
      </c>
      <c r="AJ20" s="450">
        <f t="shared" si="15"/>
        <v>0</v>
      </c>
      <c r="AK20" s="449">
        <f t="shared" si="16"/>
        <v>0</v>
      </c>
      <c r="AL20" s="452">
        <f t="shared" si="34"/>
        <v>0</v>
      </c>
      <c r="AM20" s="452">
        <f t="shared" si="17"/>
        <v>0</v>
      </c>
      <c r="AN20" s="449">
        <f t="shared" si="35"/>
        <v>0</v>
      </c>
      <c r="AO20" s="451">
        <f t="shared" si="36"/>
        <v>0</v>
      </c>
      <c r="AP20" s="250">
        <f t="shared" si="18"/>
        <v>0</v>
      </c>
      <c r="AQ20" s="246">
        <f t="shared" si="19"/>
        <v>0</v>
      </c>
      <c r="AR20" s="450">
        <f t="shared" si="20"/>
        <v>0</v>
      </c>
      <c r="AS20" s="449">
        <f t="shared" si="21"/>
        <v>0</v>
      </c>
      <c r="AT20" s="452">
        <f t="shared" si="37"/>
        <v>0</v>
      </c>
      <c r="AU20" s="452">
        <f t="shared" si="22"/>
        <v>0</v>
      </c>
      <c r="AV20" s="449">
        <f t="shared" si="38"/>
        <v>0</v>
      </c>
      <c r="AW20" s="451">
        <f t="shared" si="39"/>
        <v>0</v>
      </c>
      <c r="AX20" s="248">
        <v>0</v>
      </c>
      <c r="AY20" s="246">
        <v>0</v>
      </c>
      <c r="AZ20" s="450">
        <v>0</v>
      </c>
      <c r="BA20" s="449">
        <v>0</v>
      </c>
      <c r="BB20" s="452">
        <f t="shared" si="23"/>
        <v>0</v>
      </c>
      <c r="BC20" s="449">
        <f t="shared" si="40"/>
        <v>0</v>
      </c>
      <c r="BD20" s="451">
        <f t="shared" si="41"/>
        <v>0</v>
      </c>
      <c r="BE20" s="248">
        <v>0</v>
      </c>
      <c r="BF20" s="246">
        <v>0</v>
      </c>
      <c r="BG20" s="450">
        <v>0</v>
      </c>
      <c r="BH20" s="449">
        <v>0</v>
      </c>
      <c r="BI20" s="452">
        <f t="shared" si="24"/>
        <v>0</v>
      </c>
      <c r="BJ20" s="449">
        <f t="shared" si="42"/>
        <v>0</v>
      </c>
      <c r="BK20" s="451">
        <f t="shared" si="43"/>
        <v>0</v>
      </c>
      <c r="BL20" s="248">
        <v>0</v>
      </c>
      <c r="BM20" s="246">
        <v>0</v>
      </c>
      <c r="BN20" s="450">
        <v>0</v>
      </c>
      <c r="BO20" s="449">
        <v>0</v>
      </c>
      <c r="BP20" s="452">
        <f t="shared" si="44"/>
        <v>0</v>
      </c>
      <c r="BQ20" s="452">
        <f t="shared" si="25"/>
        <v>0</v>
      </c>
      <c r="BR20" s="449">
        <f t="shared" si="45"/>
        <v>0</v>
      </c>
      <c r="BS20" s="451">
        <f t="shared" si="46"/>
        <v>0</v>
      </c>
      <c r="BT20" s="245">
        <f t="shared" si="26"/>
        <v>0</v>
      </c>
      <c r="BU20" s="246">
        <f t="shared" si="27"/>
        <v>0</v>
      </c>
      <c r="BV20" s="450">
        <f t="shared" si="28"/>
        <v>0</v>
      </c>
      <c r="BW20" s="449">
        <f t="shared" si="29"/>
        <v>0</v>
      </c>
      <c r="BX20" s="452">
        <f t="shared" si="47"/>
        <v>0</v>
      </c>
      <c r="BY20" s="449">
        <f t="shared" si="48"/>
        <v>0</v>
      </c>
      <c r="BZ20" s="451">
        <f t="shared" si="30"/>
        <v>0</v>
      </c>
      <c r="CA20" s="242">
        <f t="shared" si="49"/>
        <v>0</v>
      </c>
      <c r="CB20" s="453">
        <f t="shared" si="31"/>
        <v>0</v>
      </c>
      <c r="CC20" s="45">
        <f t="shared" si="50"/>
        <v>0</v>
      </c>
    </row>
    <row r="21" spans="1:155">
      <c r="B21" s="249" t="s">
        <v>225</v>
      </c>
      <c r="C21" s="239"/>
      <c r="D21" s="239"/>
      <c r="E21" s="240"/>
      <c r="F21" s="241">
        <f t="shared" si="0"/>
        <v>0</v>
      </c>
      <c r="G21" s="239"/>
      <c r="H21" s="239"/>
      <c r="I21" s="239"/>
      <c r="J21" s="239"/>
      <c r="K21" s="239"/>
      <c r="L21" s="239"/>
      <c r="M21" s="239"/>
      <c r="N21" s="239"/>
      <c r="O21" s="239"/>
      <c r="P21" s="239"/>
      <c r="Q21" s="239"/>
      <c r="R21" s="239"/>
      <c r="S21" s="242">
        <f t="shared" si="1"/>
        <v>0</v>
      </c>
      <c r="T21" s="243">
        <f t="shared" si="2"/>
        <v>0</v>
      </c>
      <c r="U21" s="242">
        <f t="shared" si="51"/>
        <v>0</v>
      </c>
      <c r="V21" s="242">
        <f t="shared" si="52"/>
        <v>0</v>
      </c>
      <c r="W21" s="242">
        <f t="shared" si="5"/>
        <v>0</v>
      </c>
      <c r="X21" s="244"/>
      <c r="Y21" s="449">
        <f t="shared" si="6"/>
        <v>0</v>
      </c>
      <c r="Z21" s="245">
        <f t="shared" si="7"/>
        <v>0</v>
      </c>
      <c r="AA21" s="246">
        <f t="shared" si="8"/>
        <v>0</v>
      </c>
      <c r="AB21" s="450">
        <f t="shared" si="9"/>
        <v>0</v>
      </c>
      <c r="AC21" s="449">
        <f t="shared" si="10"/>
        <v>0</v>
      </c>
      <c r="AD21" s="451">
        <f t="shared" si="11"/>
        <v>0</v>
      </c>
      <c r="AE21" s="451">
        <f t="shared" si="12"/>
        <v>0</v>
      </c>
      <c r="AF21" s="449">
        <f t="shared" si="32"/>
        <v>0</v>
      </c>
      <c r="AG21" s="451">
        <f t="shared" si="33"/>
        <v>0</v>
      </c>
      <c r="AH21" s="250">
        <f t="shared" si="13"/>
        <v>0</v>
      </c>
      <c r="AI21" s="246">
        <f t="shared" si="14"/>
        <v>0</v>
      </c>
      <c r="AJ21" s="450">
        <f t="shared" si="15"/>
        <v>0</v>
      </c>
      <c r="AK21" s="449">
        <f t="shared" si="16"/>
        <v>0</v>
      </c>
      <c r="AL21" s="452">
        <f t="shared" si="34"/>
        <v>0</v>
      </c>
      <c r="AM21" s="452">
        <f t="shared" si="17"/>
        <v>0</v>
      </c>
      <c r="AN21" s="449">
        <f t="shared" si="35"/>
        <v>0</v>
      </c>
      <c r="AO21" s="451">
        <f t="shared" si="36"/>
        <v>0</v>
      </c>
      <c r="AP21" s="250">
        <f t="shared" si="18"/>
        <v>0</v>
      </c>
      <c r="AQ21" s="246">
        <f t="shared" si="19"/>
        <v>0</v>
      </c>
      <c r="AR21" s="450">
        <f t="shared" si="20"/>
        <v>0</v>
      </c>
      <c r="AS21" s="449">
        <f t="shared" si="21"/>
        <v>0</v>
      </c>
      <c r="AT21" s="452">
        <f t="shared" si="37"/>
        <v>0</v>
      </c>
      <c r="AU21" s="452">
        <f t="shared" si="22"/>
        <v>0</v>
      </c>
      <c r="AV21" s="449">
        <f t="shared" si="38"/>
        <v>0</v>
      </c>
      <c r="AW21" s="451">
        <f t="shared" si="39"/>
        <v>0</v>
      </c>
      <c r="AX21" s="248">
        <v>0</v>
      </c>
      <c r="AY21" s="246">
        <v>0</v>
      </c>
      <c r="AZ21" s="450">
        <v>0</v>
      </c>
      <c r="BA21" s="449">
        <v>0</v>
      </c>
      <c r="BB21" s="452">
        <f t="shared" si="23"/>
        <v>0</v>
      </c>
      <c r="BC21" s="449">
        <f t="shared" si="40"/>
        <v>0</v>
      </c>
      <c r="BD21" s="451">
        <f t="shared" si="41"/>
        <v>0</v>
      </c>
      <c r="BE21" s="248">
        <v>0</v>
      </c>
      <c r="BF21" s="246">
        <v>0</v>
      </c>
      <c r="BG21" s="450">
        <v>0</v>
      </c>
      <c r="BH21" s="449">
        <v>0</v>
      </c>
      <c r="BI21" s="452">
        <f t="shared" si="24"/>
        <v>0</v>
      </c>
      <c r="BJ21" s="449">
        <f t="shared" si="42"/>
        <v>0</v>
      </c>
      <c r="BK21" s="451">
        <f t="shared" si="43"/>
        <v>0</v>
      </c>
      <c r="BL21" s="248">
        <v>0</v>
      </c>
      <c r="BM21" s="246">
        <v>0</v>
      </c>
      <c r="BN21" s="450">
        <v>0</v>
      </c>
      <c r="BO21" s="449">
        <v>0</v>
      </c>
      <c r="BP21" s="452">
        <f t="shared" si="44"/>
        <v>0</v>
      </c>
      <c r="BQ21" s="452">
        <f t="shared" si="25"/>
        <v>0</v>
      </c>
      <c r="BR21" s="449">
        <f t="shared" si="45"/>
        <v>0</v>
      </c>
      <c r="BS21" s="451">
        <f t="shared" si="46"/>
        <v>0</v>
      </c>
      <c r="BT21" s="245">
        <f t="shared" si="26"/>
        <v>0</v>
      </c>
      <c r="BU21" s="246">
        <f t="shared" si="27"/>
        <v>0</v>
      </c>
      <c r="BV21" s="450">
        <f t="shared" si="28"/>
        <v>0</v>
      </c>
      <c r="BW21" s="449">
        <f t="shared" si="29"/>
        <v>0</v>
      </c>
      <c r="BX21" s="452">
        <f t="shared" si="47"/>
        <v>0</v>
      </c>
      <c r="BY21" s="449">
        <f t="shared" si="48"/>
        <v>0</v>
      </c>
      <c r="BZ21" s="451">
        <f t="shared" si="30"/>
        <v>0</v>
      </c>
      <c r="CA21" s="242">
        <f t="shared" si="49"/>
        <v>0</v>
      </c>
      <c r="CB21" s="453">
        <f t="shared" si="31"/>
        <v>0</v>
      </c>
      <c r="CC21" s="45">
        <f t="shared" si="50"/>
        <v>0</v>
      </c>
    </row>
    <row r="22" spans="1:155">
      <c r="B22" s="249"/>
      <c r="C22" s="239"/>
      <c r="D22" s="239"/>
      <c r="E22" s="240"/>
      <c r="F22" s="241">
        <f t="shared" si="0"/>
        <v>0</v>
      </c>
      <c r="G22" s="239"/>
      <c r="H22" s="239"/>
      <c r="I22" s="239"/>
      <c r="J22" s="239"/>
      <c r="K22" s="239"/>
      <c r="L22" s="239"/>
      <c r="M22" s="239"/>
      <c r="N22" s="239"/>
      <c r="O22" s="239"/>
      <c r="P22" s="239"/>
      <c r="Q22" s="239"/>
      <c r="R22" s="239"/>
      <c r="S22" s="242">
        <f t="shared" si="1"/>
        <v>0</v>
      </c>
      <c r="T22" s="243">
        <f t="shared" si="2"/>
        <v>0</v>
      </c>
      <c r="U22" s="242">
        <f t="shared" si="51"/>
        <v>0</v>
      </c>
      <c r="V22" s="242">
        <f t="shared" si="52"/>
        <v>0</v>
      </c>
      <c r="W22" s="242">
        <f t="shared" si="5"/>
        <v>0</v>
      </c>
      <c r="X22" s="244"/>
      <c r="Y22" s="449">
        <f t="shared" si="6"/>
        <v>0</v>
      </c>
      <c r="Z22" s="245">
        <f t="shared" si="7"/>
        <v>0</v>
      </c>
      <c r="AA22" s="246">
        <f t="shared" si="8"/>
        <v>0</v>
      </c>
      <c r="AB22" s="450">
        <f t="shared" si="9"/>
        <v>0</v>
      </c>
      <c r="AC22" s="449">
        <f t="shared" si="10"/>
        <v>0</v>
      </c>
      <c r="AD22" s="451">
        <f t="shared" si="11"/>
        <v>0</v>
      </c>
      <c r="AE22" s="451">
        <f t="shared" si="12"/>
        <v>0</v>
      </c>
      <c r="AF22" s="449">
        <f t="shared" si="32"/>
        <v>0</v>
      </c>
      <c r="AG22" s="451">
        <f t="shared" si="33"/>
        <v>0</v>
      </c>
      <c r="AH22" s="250">
        <f t="shared" si="13"/>
        <v>0</v>
      </c>
      <c r="AI22" s="246">
        <f t="shared" si="14"/>
        <v>0</v>
      </c>
      <c r="AJ22" s="450">
        <f t="shared" si="15"/>
        <v>0</v>
      </c>
      <c r="AK22" s="449">
        <f t="shared" si="16"/>
        <v>0</v>
      </c>
      <c r="AL22" s="452">
        <f t="shared" si="34"/>
        <v>0</v>
      </c>
      <c r="AM22" s="452">
        <f t="shared" si="17"/>
        <v>0</v>
      </c>
      <c r="AN22" s="449">
        <f t="shared" si="35"/>
        <v>0</v>
      </c>
      <c r="AO22" s="451">
        <f t="shared" si="36"/>
        <v>0</v>
      </c>
      <c r="AP22" s="250">
        <f t="shared" si="18"/>
        <v>0</v>
      </c>
      <c r="AQ22" s="246">
        <f t="shared" si="19"/>
        <v>0</v>
      </c>
      <c r="AR22" s="450">
        <f t="shared" si="20"/>
        <v>0</v>
      </c>
      <c r="AS22" s="449">
        <f t="shared" si="21"/>
        <v>0</v>
      </c>
      <c r="AT22" s="452">
        <f t="shared" si="37"/>
        <v>0</v>
      </c>
      <c r="AU22" s="452">
        <f t="shared" si="22"/>
        <v>0</v>
      </c>
      <c r="AV22" s="449">
        <f t="shared" si="38"/>
        <v>0</v>
      </c>
      <c r="AW22" s="451">
        <f t="shared" si="39"/>
        <v>0</v>
      </c>
      <c r="AX22" s="248">
        <v>0</v>
      </c>
      <c r="AY22" s="246">
        <v>0</v>
      </c>
      <c r="AZ22" s="450">
        <v>0</v>
      </c>
      <c r="BA22" s="449">
        <v>0</v>
      </c>
      <c r="BB22" s="452">
        <f t="shared" si="23"/>
        <v>0</v>
      </c>
      <c r="BC22" s="449">
        <f t="shared" si="40"/>
        <v>0</v>
      </c>
      <c r="BD22" s="451">
        <f t="shared" si="41"/>
        <v>0</v>
      </c>
      <c r="BE22" s="248">
        <v>0</v>
      </c>
      <c r="BF22" s="246">
        <v>0</v>
      </c>
      <c r="BG22" s="450">
        <v>0</v>
      </c>
      <c r="BH22" s="449">
        <v>0</v>
      </c>
      <c r="BI22" s="452">
        <f t="shared" si="24"/>
        <v>0</v>
      </c>
      <c r="BJ22" s="449">
        <f t="shared" si="42"/>
        <v>0</v>
      </c>
      <c r="BK22" s="451">
        <f t="shared" si="43"/>
        <v>0</v>
      </c>
      <c r="BL22" s="248">
        <v>0</v>
      </c>
      <c r="BM22" s="246">
        <v>0</v>
      </c>
      <c r="BN22" s="450">
        <v>0</v>
      </c>
      <c r="BO22" s="449">
        <v>0</v>
      </c>
      <c r="BP22" s="452">
        <f t="shared" si="44"/>
        <v>0</v>
      </c>
      <c r="BQ22" s="452">
        <f t="shared" si="25"/>
        <v>0</v>
      </c>
      <c r="BR22" s="449">
        <f t="shared" si="45"/>
        <v>0</v>
      </c>
      <c r="BS22" s="451">
        <f t="shared" si="46"/>
        <v>0</v>
      </c>
      <c r="BT22" s="245">
        <f t="shared" si="26"/>
        <v>0</v>
      </c>
      <c r="BU22" s="246">
        <f t="shared" si="27"/>
        <v>0</v>
      </c>
      <c r="BV22" s="450">
        <f t="shared" si="28"/>
        <v>0</v>
      </c>
      <c r="BW22" s="449">
        <f t="shared" si="29"/>
        <v>0</v>
      </c>
      <c r="BX22" s="452">
        <f t="shared" si="47"/>
        <v>0</v>
      </c>
      <c r="BY22" s="449">
        <f t="shared" si="48"/>
        <v>0</v>
      </c>
      <c r="BZ22" s="451">
        <f t="shared" si="30"/>
        <v>0</v>
      </c>
      <c r="CA22" s="242">
        <f t="shared" si="49"/>
        <v>0</v>
      </c>
      <c r="CB22" s="453">
        <f t="shared" si="31"/>
        <v>0</v>
      </c>
      <c r="CC22" s="45">
        <f t="shared" si="50"/>
        <v>0</v>
      </c>
    </row>
    <row r="23" spans="1:155" ht="15.75" customHeight="1">
      <c r="B23" s="251"/>
      <c r="C23" s="239"/>
      <c r="D23" s="239"/>
      <c r="E23" s="240"/>
      <c r="F23" s="241">
        <f t="shared" si="0"/>
        <v>0</v>
      </c>
      <c r="G23" s="239"/>
      <c r="H23" s="239"/>
      <c r="I23" s="239"/>
      <c r="J23" s="239"/>
      <c r="K23" s="239"/>
      <c r="L23" s="239"/>
      <c r="M23" s="239"/>
      <c r="N23" s="239"/>
      <c r="O23" s="239"/>
      <c r="P23" s="239"/>
      <c r="Q23" s="239"/>
      <c r="R23" s="239"/>
      <c r="S23" s="242">
        <f t="shared" si="1"/>
        <v>0</v>
      </c>
      <c r="T23" s="243">
        <f t="shared" si="2"/>
        <v>0</v>
      </c>
      <c r="U23" s="242">
        <f t="shared" si="51"/>
        <v>0</v>
      </c>
      <c r="V23" s="242">
        <f t="shared" si="52"/>
        <v>0</v>
      </c>
      <c r="W23" s="242">
        <f t="shared" si="5"/>
        <v>0</v>
      </c>
      <c r="X23" s="244"/>
      <c r="Y23" s="449">
        <f t="shared" si="6"/>
        <v>0</v>
      </c>
      <c r="Z23" s="245">
        <f t="shared" si="7"/>
        <v>0</v>
      </c>
      <c r="AA23" s="246">
        <f t="shared" si="8"/>
        <v>0</v>
      </c>
      <c r="AB23" s="450">
        <f t="shared" si="9"/>
        <v>0</v>
      </c>
      <c r="AC23" s="449">
        <f t="shared" si="10"/>
        <v>0</v>
      </c>
      <c r="AD23" s="451">
        <f t="shared" si="11"/>
        <v>0</v>
      </c>
      <c r="AE23" s="451">
        <f t="shared" si="12"/>
        <v>0</v>
      </c>
      <c r="AF23" s="449">
        <f t="shared" si="32"/>
        <v>0</v>
      </c>
      <c r="AG23" s="451">
        <f t="shared" si="33"/>
        <v>0</v>
      </c>
      <c r="AH23" s="250">
        <f t="shared" si="13"/>
        <v>0</v>
      </c>
      <c r="AI23" s="246">
        <f t="shared" si="14"/>
        <v>0</v>
      </c>
      <c r="AJ23" s="450">
        <f t="shared" si="15"/>
        <v>0</v>
      </c>
      <c r="AK23" s="449">
        <f t="shared" si="16"/>
        <v>0</v>
      </c>
      <c r="AL23" s="452">
        <f t="shared" si="34"/>
        <v>0</v>
      </c>
      <c r="AM23" s="452">
        <f t="shared" si="17"/>
        <v>0</v>
      </c>
      <c r="AN23" s="449">
        <f t="shared" si="35"/>
        <v>0</v>
      </c>
      <c r="AO23" s="451">
        <f t="shared" si="36"/>
        <v>0</v>
      </c>
      <c r="AP23" s="250">
        <f t="shared" si="18"/>
        <v>0</v>
      </c>
      <c r="AQ23" s="246">
        <f t="shared" si="19"/>
        <v>0</v>
      </c>
      <c r="AR23" s="450">
        <f t="shared" si="20"/>
        <v>0</v>
      </c>
      <c r="AS23" s="449">
        <f t="shared" si="21"/>
        <v>0</v>
      </c>
      <c r="AT23" s="452">
        <f t="shared" si="37"/>
        <v>0</v>
      </c>
      <c r="AU23" s="452">
        <f t="shared" si="22"/>
        <v>0</v>
      </c>
      <c r="AV23" s="449">
        <f t="shared" si="38"/>
        <v>0</v>
      </c>
      <c r="AW23" s="451">
        <f t="shared" si="39"/>
        <v>0</v>
      </c>
      <c r="AX23" s="248">
        <v>0</v>
      </c>
      <c r="AY23" s="246">
        <v>0</v>
      </c>
      <c r="AZ23" s="450">
        <v>0</v>
      </c>
      <c r="BA23" s="449">
        <v>0</v>
      </c>
      <c r="BB23" s="452">
        <f t="shared" si="23"/>
        <v>0</v>
      </c>
      <c r="BC23" s="449">
        <f t="shared" si="40"/>
        <v>0</v>
      </c>
      <c r="BD23" s="451">
        <f t="shared" si="41"/>
        <v>0</v>
      </c>
      <c r="BE23" s="248">
        <v>0</v>
      </c>
      <c r="BF23" s="246">
        <v>0</v>
      </c>
      <c r="BG23" s="450">
        <v>0</v>
      </c>
      <c r="BH23" s="449">
        <v>0</v>
      </c>
      <c r="BI23" s="452">
        <f t="shared" si="24"/>
        <v>0</v>
      </c>
      <c r="BJ23" s="449">
        <f t="shared" si="42"/>
        <v>0</v>
      </c>
      <c r="BK23" s="451">
        <f t="shared" si="43"/>
        <v>0</v>
      </c>
      <c r="BL23" s="248">
        <v>0</v>
      </c>
      <c r="BM23" s="246">
        <v>0</v>
      </c>
      <c r="BN23" s="450">
        <v>0</v>
      </c>
      <c r="BO23" s="449">
        <v>0</v>
      </c>
      <c r="BP23" s="452">
        <f t="shared" si="44"/>
        <v>0</v>
      </c>
      <c r="BQ23" s="452">
        <f t="shared" si="25"/>
        <v>0</v>
      </c>
      <c r="BR23" s="449">
        <f t="shared" si="45"/>
        <v>0</v>
      </c>
      <c r="BS23" s="451">
        <f t="shared" si="46"/>
        <v>0</v>
      </c>
      <c r="BT23" s="245">
        <f t="shared" si="26"/>
        <v>0</v>
      </c>
      <c r="BU23" s="246">
        <f t="shared" si="27"/>
        <v>0</v>
      </c>
      <c r="BV23" s="450">
        <f t="shared" si="28"/>
        <v>0</v>
      </c>
      <c r="BW23" s="449">
        <f t="shared" si="29"/>
        <v>0</v>
      </c>
      <c r="BX23" s="452">
        <f t="shared" si="47"/>
        <v>0</v>
      </c>
      <c r="BY23" s="449">
        <f t="shared" si="48"/>
        <v>0</v>
      </c>
      <c r="BZ23" s="451">
        <f t="shared" si="30"/>
        <v>0</v>
      </c>
      <c r="CA23" s="242">
        <f t="shared" si="49"/>
        <v>0</v>
      </c>
      <c r="CB23" s="453">
        <f t="shared" si="31"/>
        <v>0</v>
      </c>
      <c r="CC23" s="45">
        <f t="shared" si="50"/>
        <v>0</v>
      </c>
    </row>
    <row r="24" spans="1:155">
      <c r="B24" s="455" t="s">
        <v>227</v>
      </c>
      <c r="C24" s="456"/>
      <c r="D24" s="456"/>
      <c r="E24" s="456"/>
      <c r="F24" s="456"/>
      <c r="G24" s="457"/>
      <c r="H24" s="457"/>
      <c r="I24" s="457"/>
      <c r="J24" s="457"/>
      <c r="K24" s="457"/>
      <c r="L24" s="457"/>
      <c r="M24" s="457"/>
      <c r="N24" s="457"/>
      <c r="O24" s="457"/>
      <c r="P24" s="457"/>
      <c r="Q24" s="457"/>
      <c r="R24" s="457"/>
      <c r="S24" s="456"/>
      <c r="T24" s="456"/>
      <c r="U24" s="456"/>
      <c r="V24" s="456"/>
      <c r="W24" s="456"/>
      <c r="X24" s="458"/>
      <c r="Y24" s="456"/>
      <c r="Z24" s="459"/>
      <c r="AA24" s="456"/>
      <c r="AB24" s="460"/>
      <c r="AC24" s="456"/>
      <c r="AD24" s="461"/>
      <c r="AE24" s="462">
        <f>SUM(AE16:AE23)</f>
        <v>0</v>
      </c>
      <c r="AF24" s="463">
        <f>IF(AE24&gt;0,SQRT(SUM(AG16:AG23))/AE24,0)</f>
        <v>0</v>
      </c>
      <c r="AG24" s="462">
        <f t="shared" si="33"/>
        <v>0</v>
      </c>
      <c r="AH24" s="464"/>
      <c r="AI24" s="456"/>
      <c r="AJ24" s="465"/>
      <c r="AK24" s="456"/>
      <c r="AL24" s="466"/>
      <c r="AM24" s="462">
        <f>SUM(AM16:AM23)</f>
        <v>0</v>
      </c>
      <c r="AN24" s="463">
        <f>IF(AM24&gt;0,SQRT(SUM(AO16:AO23))/AM24,0)</f>
        <v>0</v>
      </c>
      <c r="AO24" s="462">
        <f t="shared" si="36"/>
        <v>0</v>
      </c>
      <c r="AP24" s="456"/>
      <c r="AQ24" s="456"/>
      <c r="AR24" s="465"/>
      <c r="AS24" s="456"/>
      <c r="AT24" s="456"/>
      <c r="AU24" s="462">
        <f>SUM(AU16:AU23)</f>
        <v>0</v>
      </c>
      <c r="AV24" s="463">
        <f>IF(AU24&gt;0,SQRT(SUM(AW16:AW23))/AU24,0)</f>
        <v>0</v>
      </c>
      <c r="AW24" s="462">
        <f t="shared" si="39"/>
        <v>0</v>
      </c>
      <c r="AX24" s="456"/>
      <c r="AY24" s="456"/>
      <c r="AZ24" s="465"/>
      <c r="BA24" s="456"/>
      <c r="BB24" s="462">
        <f>SUM(BB16:BB23)</f>
        <v>0</v>
      </c>
      <c r="BC24" s="463">
        <f>IF(BB24&gt;0,SQRT(SUM(BD16:BD23))/BB24,0)</f>
        <v>0</v>
      </c>
      <c r="BD24" s="462">
        <f t="shared" si="41"/>
        <v>0</v>
      </c>
      <c r="BE24" s="456"/>
      <c r="BF24" s="456"/>
      <c r="BG24" s="465"/>
      <c r="BH24" s="456"/>
      <c r="BI24" s="462">
        <f>SUM(BI16:BI23)</f>
        <v>0</v>
      </c>
      <c r="BJ24" s="463">
        <f>IF(BI24&gt;0,SQRT(SUM(BK16:BK23))/BI24,0)</f>
        <v>0</v>
      </c>
      <c r="BK24" s="462">
        <f t="shared" si="43"/>
        <v>0</v>
      </c>
      <c r="BL24" s="456"/>
      <c r="BM24" s="456"/>
      <c r="BN24" s="460"/>
      <c r="BO24" s="467"/>
      <c r="BP24" s="468"/>
      <c r="BQ24" s="462">
        <f>SUM(BQ16:BQ23)</f>
        <v>0</v>
      </c>
      <c r="BR24" s="463">
        <f>IF(BQ24&gt;0,SQRT(SUM(BS16:BS23))/BQ24,0)</f>
        <v>0</v>
      </c>
      <c r="BS24" s="462">
        <f t="shared" si="46"/>
        <v>0</v>
      </c>
      <c r="BT24" s="456"/>
      <c r="BU24" s="456"/>
      <c r="BV24" s="460"/>
      <c r="BW24" s="467"/>
      <c r="BX24" s="462">
        <f>SUM(BX16:BX23)</f>
        <v>0</v>
      </c>
      <c r="BY24" s="463">
        <f>IF(BX24&gt;0,SQRT(SUM(BZ16:BZ23))/BX24,0)</f>
        <v>0</v>
      </c>
      <c r="BZ24" s="462">
        <f t="shared" si="30"/>
        <v>0</v>
      </c>
      <c r="CA24" s="462">
        <f>SUM(CA16:CA23)</f>
        <v>0</v>
      </c>
      <c r="CB24" s="469">
        <f>IF(CA24&gt;0,SQRT(SUM(CC16:CC23))/CA24,0)</f>
        <v>0</v>
      </c>
      <c r="CC24" s="45">
        <f t="shared" si="50"/>
        <v>0</v>
      </c>
    </row>
    <row r="25" spans="1:155">
      <c r="B25" s="555" t="s">
        <v>228</v>
      </c>
      <c r="C25" s="239"/>
      <c r="D25" s="239"/>
      <c r="E25" s="252"/>
      <c r="F25" s="241">
        <f>VLOOKUP($E25,$CD$138:$DH$504,2,FALSE)</f>
        <v>0</v>
      </c>
      <c r="G25" s="239"/>
      <c r="H25" s="239"/>
      <c r="I25" s="239"/>
      <c r="J25" s="239"/>
      <c r="K25" s="239"/>
      <c r="L25" s="239"/>
      <c r="M25" s="239"/>
      <c r="N25" s="239"/>
      <c r="O25" s="239"/>
      <c r="P25" s="239"/>
      <c r="Q25" s="239"/>
      <c r="R25" s="239"/>
      <c r="S25" s="242">
        <f t="shared" ref="S25:S28" si="53">SUM(G25:R25)</f>
        <v>0</v>
      </c>
      <c r="T25" s="243">
        <f t="shared" ref="T25:T28" si="54">COUNT(G25:R25)</f>
        <v>0</v>
      </c>
      <c r="U25" s="242">
        <f t="shared" ref="U25:U28" si="55">IF(T25&gt;1,AVERAGE(G25:R25),0)</f>
        <v>0</v>
      </c>
      <c r="V25" s="242">
        <f t="shared" ref="V25:V28" si="56">IF(T25&gt;1,STDEV(G25:R25),0)</f>
        <v>0</v>
      </c>
      <c r="W25" s="242">
        <f>IF(T25&gt;1,VLOOKUP($T25,$CD$414:$CE$426,2,FALSE),0)</f>
        <v>0</v>
      </c>
      <c r="X25" s="244"/>
      <c r="Y25" s="449">
        <f>IF(X25&gt;0,X25,IF(T25&gt;1,1-((U25-((V25*W25)/(SQRT(T25))))/U25),VLOOKUP($E25,$CD$138:$DK$504,34,FALSE)))</f>
        <v>0</v>
      </c>
      <c r="Z25" s="245">
        <f>VLOOKUP($E25,$CD$138:$DH$504,3,FALSE)</f>
        <v>0</v>
      </c>
      <c r="AA25" s="246">
        <f>VLOOKUP($E25,$CD$138:$DH$504,4,FALSE)</f>
        <v>0</v>
      </c>
      <c r="AB25" s="450">
        <f>IF($S25&gt;0,VLOOKUP($E25,$CD$138:$DH$504,7,FALSE),0)</f>
        <v>0</v>
      </c>
      <c r="AC25" s="449">
        <f>IF($S25&gt;0,VLOOKUP($E25,$CD$138:$DH$504,6,FALSE),0)</f>
        <v>0</v>
      </c>
      <c r="AD25" s="451">
        <f t="shared" ref="AD25:AD28" si="57">($S25*Z25)/1000</f>
        <v>0</v>
      </c>
      <c r="AE25" s="451">
        <f>AD25*$CE$432</f>
        <v>0</v>
      </c>
      <c r="AF25" s="449">
        <f t="shared" ref="AF25:AF28" si="58">IF(AD25&gt;0,SQRT(($Y25*$Y25)+(AC25*AC25)),0)</f>
        <v>0</v>
      </c>
      <c r="AG25" s="451">
        <f t="shared" ref="AG25:AG30" si="59">(AE25*AF25)^2</f>
        <v>0</v>
      </c>
      <c r="AH25" s="250">
        <v>0</v>
      </c>
      <c r="AI25" s="246">
        <v>0</v>
      </c>
      <c r="AJ25" s="450">
        <v>0</v>
      </c>
      <c r="AK25" s="449">
        <v>0</v>
      </c>
      <c r="AL25" s="452">
        <f t="shared" ref="AL25:AL28" si="60">($S25*AH25)/1000</f>
        <v>0</v>
      </c>
      <c r="AM25" s="452">
        <f>AL25*$CE$433</f>
        <v>0</v>
      </c>
      <c r="AN25" s="449">
        <f t="shared" ref="AN25:AN28" si="61">IF(AL25&gt;0,SQRT(($Y25*$Y25)+(AK25*AK25)),0)</f>
        <v>0</v>
      </c>
      <c r="AO25" s="451">
        <f t="shared" ref="AO25:AO30" si="62">(AM25*AN25)^2</f>
        <v>0</v>
      </c>
      <c r="AP25" s="250">
        <v>0</v>
      </c>
      <c r="AQ25" s="246">
        <v>0</v>
      </c>
      <c r="AR25" s="450">
        <v>0</v>
      </c>
      <c r="AS25" s="449">
        <v>0</v>
      </c>
      <c r="AT25" s="452">
        <f>($S25*AP25)/1000</f>
        <v>0</v>
      </c>
      <c r="AU25" s="452">
        <f>AT25*$CE$434</f>
        <v>0</v>
      </c>
      <c r="AV25" s="449">
        <f t="shared" ref="AV25:AV28" si="63">IF(AT25&gt;0,SQRT(($Y25*$Y25)+(AS25*AS25)),0)</f>
        <v>0</v>
      </c>
      <c r="AW25" s="451">
        <f t="shared" ref="AW25:AW30" si="64">(AU25*AV25)^2</f>
        <v>0</v>
      </c>
      <c r="AX25" s="248">
        <v>0</v>
      </c>
      <c r="AY25" s="246">
        <v>0</v>
      </c>
      <c r="AZ25" s="450">
        <v>0</v>
      </c>
      <c r="BA25" s="449">
        <v>0</v>
      </c>
      <c r="BB25" s="452">
        <f t="shared" ref="BB25:BB28" si="65">($S25*AX25)/1000</f>
        <v>0</v>
      </c>
      <c r="BC25" s="449">
        <f t="shared" ref="BC25:BC28" si="66">IF(BB25&gt;0,SQRT(($Y25*$Y25)+(BA25*BA25)),0)</f>
        <v>0</v>
      </c>
      <c r="BD25" s="451">
        <f t="shared" ref="BD25:BD30" si="67">(BB25*BC25)^2</f>
        <v>0</v>
      </c>
      <c r="BE25" s="248">
        <v>0</v>
      </c>
      <c r="BF25" s="246">
        <v>0</v>
      </c>
      <c r="BG25" s="450">
        <v>0</v>
      </c>
      <c r="BH25" s="449">
        <v>0</v>
      </c>
      <c r="BI25" s="452">
        <f t="shared" ref="BI25:BI28" si="68">($S25*BE25)/1000</f>
        <v>0</v>
      </c>
      <c r="BJ25" s="449">
        <f t="shared" ref="BJ25:BJ28" si="69">IF(BI25&gt;0,SQRT(($Y25*$Y25)+(BH25*BH25)),0)</f>
        <v>0</v>
      </c>
      <c r="BK25" s="451">
        <f t="shared" si="43"/>
        <v>0</v>
      </c>
      <c r="BL25" s="248">
        <v>0</v>
      </c>
      <c r="BM25" s="246">
        <v>0</v>
      </c>
      <c r="BN25" s="450">
        <v>0</v>
      </c>
      <c r="BO25" s="449">
        <v>0</v>
      </c>
      <c r="BP25" s="452">
        <f t="shared" ref="BP25:BP28" si="70">($S25*BL25)/1000</f>
        <v>0</v>
      </c>
      <c r="BQ25" s="452">
        <f>BP25*$CE$435</f>
        <v>0</v>
      </c>
      <c r="BR25" s="449">
        <f t="shared" ref="BR25:BR28" si="71">IF(BP25&gt;0,SQRT(($Y25*$Y25)+(BO25*BO25)),0)</f>
        <v>0</v>
      </c>
      <c r="BS25" s="451">
        <f t="shared" ref="BS25:BS30" si="72">(BQ25*BR25)^2</f>
        <v>0</v>
      </c>
      <c r="BT25" s="248">
        <v>0</v>
      </c>
      <c r="BU25" s="246">
        <v>0</v>
      </c>
      <c r="BV25" s="450">
        <v>0</v>
      </c>
      <c r="BW25" s="449">
        <v>0</v>
      </c>
      <c r="BX25" s="452">
        <v>0</v>
      </c>
      <c r="BY25" s="449">
        <v>0</v>
      </c>
      <c r="BZ25" s="451">
        <f t="shared" si="30"/>
        <v>0</v>
      </c>
      <c r="CA25" s="242">
        <f t="shared" ref="CA25:CA28" si="73">IF(C25="EmisionesGEI",D25,AE25+AM25+AU25+BB25+BQ25)</f>
        <v>0</v>
      </c>
      <c r="CB25" s="453">
        <f>IF(CA25&gt;0,SQRT(AG25+AO25+AW25+BD25+BS25)/CA25,0)</f>
        <v>0</v>
      </c>
      <c r="CC25" s="45">
        <f t="shared" si="50"/>
        <v>0</v>
      </c>
    </row>
    <row r="26" spans="1:155">
      <c r="B26" s="556"/>
      <c r="C26" s="239"/>
      <c r="D26" s="239"/>
      <c r="E26" s="252"/>
      <c r="F26" s="241">
        <f>VLOOKUP($E26,$CD$138:$DH$504,2,FALSE)</f>
        <v>0</v>
      </c>
      <c r="G26" s="239"/>
      <c r="H26" s="239"/>
      <c r="I26" s="239"/>
      <c r="J26" s="239"/>
      <c r="K26" s="239"/>
      <c r="L26" s="239"/>
      <c r="M26" s="239"/>
      <c r="N26" s="239"/>
      <c r="O26" s="239"/>
      <c r="P26" s="239"/>
      <c r="Q26" s="239"/>
      <c r="R26" s="239"/>
      <c r="S26" s="242">
        <f t="shared" si="53"/>
        <v>0</v>
      </c>
      <c r="T26" s="243">
        <f t="shared" si="54"/>
        <v>0</v>
      </c>
      <c r="U26" s="242">
        <f t="shared" si="55"/>
        <v>0</v>
      </c>
      <c r="V26" s="242">
        <f t="shared" si="56"/>
        <v>0</v>
      </c>
      <c r="W26" s="242">
        <f>IF(T26&gt;1,VLOOKUP($T26,$CD$414:$CE$426,2,FALSE),0)</f>
        <v>0</v>
      </c>
      <c r="X26" s="244"/>
      <c r="Y26" s="449">
        <f>IF(X26&gt;0,X26,IF(T26&gt;1,1-((U26-((V26*W26)/(SQRT(T26))))/U26),VLOOKUP($E26,$CD$138:$DK$504,34,FALSE)))</f>
        <v>0</v>
      </c>
      <c r="Z26" s="245">
        <v>0</v>
      </c>
      <c r="AA26" s="246">
        <v>0</v>
      </c>
      <c r="AB26" s="450">
        <v>0</v>
      </c>
      <c r="AC26" s="449">
        <v>0</v>
      </c>
      <c r="AD26" s="451">
        <f t="shared" si="57"/>
        <v>0</v>
      </c>
      <c r="AE26" s="451">
        <f>AD26*$CE$432</f>
        <v>0</v>
      </c>
      <c r="AF26" s="449">
        <f t="shared" si="58"/>
        <v>0</v>
      </c>
      <c r="AG26" s="451">
        <f t="shared" si="59"/>
        <v>0</v>
      </c>
      <c r="AH26" s="250">
        <v>0</v>
      </c>
      <c r="AI26" s="246">
        <v>0</v>
      </c>
      <c r="AJ26" s="450">
        <v>0</v>
      </c>
      <c r="AK26" s="449">
        <v>0</v>
      </c>
      <c r="AL26" s="452">
        <f t="shared" si="60"/>
        <v>0</v>
      </c>
      <c r="AM26" s="452">
        <f>AL26*$CE$433</f>
        <v>0</v>
      </c>
      <c r="AN26" s="449">
        <f t="shared" si="61"/>
        <v>0</v>
      </c>
      <c r="AO26" s="451">
        <f t="shared" si="62"/>
        <v>0</v>
      </c>
      <c r="AP26" s="250">
        <v>0</v>
      </c>
      <c r="AQ26" s="246">
        <v>0</v>
      </c>
      <c r="AR26" s="450">
        <v>0</v>
      </c>
      <c r="AS26" s="449">
        <v>0</v>
      </c>
      <c r="AT26" s="452">
        <f>($S26*AP26)/1000</f>
        <v>0</v>
      </c>
      <c r="AU26" s="452">
        <f>AT26*$CE$434</f>
        <v>0</v>
      </c>
      <c r="AV26" s="449">
        <f t="shared" si="63"/>
        <v>0</v>
      </c>
      <c r="AW26" s="451">
        <f t="shared" si="64"/>
        <v>0</v>
      </c>
      <c r="AX26" s="248">
        <f>VLOOKUP($E26,$CD$138:$DH$504,3,FALSE)</f>
        <v>0</v>
      </c>
      <c r="AY26" s="246">
        <f>VLOOKUP($E26,$CD$138:$DH$504,4,FALSE)</f>
        <v>0</v>
      </c>
      <c r="AZ26" s="450">
        <f>IF($S26&gt;0,VLOOKUP($E26,$CD$138:$DH$504,7,FALSE),0)</f>
        <v>0</v>
      </c>
      <c r="BA26" s="449">
        <f>IF($S26&gt;0,VLOOKUP($E26,$CD$138:$DH$504,6,FALSE),0)</f>
        <v>0</v>
      </c>
      <c r="BB26" s="452">
        <f t="shared" si="65"/>
        <v>0</v>
      </c>
      <c r="BC26" s="449">
        <f t="shared" si="66"/>
        <v>0</v>
      </c>
      <c r="BD26" s="451">
        <f t="shared" si="67"/>
        <v>0</v>
      </c>
      <c r="BE26" s="248">
        <v>0</v>
      </c>
      <c r="BF26" s="246">
        <f>VLOOKUP($E26,$CD$138:$DH$504,4,FALSE)</f>
        <v>0</v>
      </c>
      <c r="BG26" s="450">
        <f>IF($S26&gt;0,VLOOKUP($E26,$CD$138:$DH$504,7,FALSE),0)</f>
        <v>0</v>
      </c>
      <c r="BH26" s="449">
        <f>IF($S26&gt;0,VLOOKUP($E26,$CD$138:$DH$504,6,FALSE),0)</f>
        <v>0</v>
      </c>
      <c r="BI26" s="452">
        <f t="shared" si="68"/>
        <v>0</v>
      </c>
      <c r="BJ26" s="449">
        <f t="shared" si="69"/>
        <v>0</v>
      </c>
      <c r="BK26" s="451">
        <f t="shared" si="43"/>
        <v>0</v>
      </c>
      <c r="BL26" s="248">
        <v>0</v>
      </c>
      <c r="BM26" s="246">
        <v>0</v>
      </c>
      <c r="BN26" s="450">
        <v>0</v>
      </c>
      <c r="BO26" s="449">
        <v>0</v>
      </c>
      <c r="BP26" s="452">
        <f t="shared" si="70"/>
        <v>0</v>
      </c>
      <c r="BQ26" s="452">
        <f>BP26*$CE$435</f>
        <v>0</v>
      </c>
      <c r="BR26" s="449">
        <f t="shared" si="71"/>
        <v>0</v>
      </c>
      <c r="BS26" s="451">
        <f t="shared" si="72"/>
        <v>0</v>
      </c>
      <c r="BT26" s="248">
        <v>0</v>
      </c>
      <c r="BU26" s="246">
        <v>0</v>
      </c>
      <c r="BV26" s="450">
        <v>0</v>
      </c>
      <c r="BW26" s="449">
        <v>0</v>
      </c>
      <c r="BX26" s="452">
        <v>0</v>
      </c>
      <c r="BY26" s="449">
        <v>0</v>
      </c>
      <c r="BZ26" s="451">
        <f t="shared" si="30"/>
        <v>0</v>
      </c>
      <c r="CA26" s="242">
        <f t="shared" si="73"/>
        <v>0</v>
      </c>
      <c r="CB26" s="453">
        <f>IF(CA26&gt;0,SQRT(AG26+AO26+AW26+BD26+BS26)/CA26,0)</f>
        <v>0</v>
      </c>
      <c r="CC26" s="45">
        <f t="shared" si="50"/>
        <v>0</v>
      </c>
    </row>
    <row r="27" spans="1:155">
      <c r="B27" s="555" t="s">
        <v>229</v>
      </c>
      <c r="C27" s="239"/>
      <c r="D27" s="239"/>
      <c r="E27" s="252"/>
      <c r="F27" s="241">
        <f>VLOOKUP($E27,$CD$138:$DH$504,2,FALSE)</f>
        <v>0</v>
      </c>
      <c r="G27" s="239"/>
      <c r="H27" s="239"/>
      <c r="I27" s="239"/>
      <c r="J27" s="239"/>
      <c r="K27" s="239"/>
      <c r="L27" s="239"/>
      <c r="M27" s="239"/>
      <c r="N27" s="239"/>
      <c r="O27" s="239"/>
      <c r="P27" s="239"/>
      <c r="Q27" s="239"/>
      <c r="R27" s="239"/>
      <c r="S27" s="242">
        <f t="shared" si="53"/>
        <v>0</v>
      </c>
      <c r="T27" s="243">
        <f t="shared" si="54"/>
        <v>0</v>
      </c>
      <c r="U27" s="242">
        <f t="shared" si="55"/>
        <v>0</v>
      </c>
      <c r="V27" s="242">
        <f t="shared" si="56"/>
        <v>0</v>
      </c>
      <c r="W27" s="242">
        <f>IF(T27&gt;1,VLOOKUP($T27,$CD$414:$CE$426,2,FALSE),0)</f>
        <v>0</v>
      </c>
      <c r="X27" s="244"/>
      <c r="Y27" s="449">
        <f>IF(X27&gt;0,X27,IF(T27&gt;1,1-((U27-((V27*W27)/(SQRT(T27))))/U27),VLOOKUP($E27,$CD$138:$DK$504,34,FALSE)))</f>
        <v>0</v>
      </c>
      <c r="Z27" s="250">
        <f>VLOOKUP($E27,$CD$138:$DH$504,3,FALSE)</f>
        <v>0</v>
      </c>
      <c r="AA27" s="246">
        <f>VLOOKUP($E27,$CD$138:$DH$504,4,FALSE)</f>
        <v>0</v>
      </c>
      <c r="AB27" s="450">
        <f>IF($S27&gt;0,VLOOKUP($E27,$CD$138:$DH$504,7,FALSE),0)</f>
        <v>0</v>
      </c>
      <c r="AC27" s="449">
        <f>IF($S27&gt;0,VLOOKUP($E27,$CD$138:$DH$504,6,FALSE),0)</f>
        <v>0</v>
      </c>
      <c r="AD27" s="451">
        <f t="shared" si="57"/>
        <v>0</v>
      </c>
      <c r="AE27" s="451">
        <f>AD27*$CE$432</f>
        <v>0</v>
      </c>
      <c r="AF27" s="449">
        <f t="shared" si="58"/>
        <v>0</v>
      </c>
      <c r="AG27" s="451">
        <f t="shared" si="59"/>
        <v>0</v>
      </c>
      <c r="AH27" s="250">
        <v>0</v>
      </c>
      <c r="AI27" s="246">
        <v>0</v>
      </c>
      <c r="AJ27" s="450">
        <v>0</v>
      </c>
      <c r="AK27" s="449">
        <v>0</v>
      </c>
      <c r="AL27" s="452">
        <f t="shared" si="60"/>
        <v>0</v>
      </c>
      <c r="AM27" s="452">
        <f>AL27*$CE$433</f>
        <v>0</v>
      </c>
      <c r="AN27" s="449">
        <f t="shared" si="61"/>
        <v>0</v>
      </c>
      <c r="AO27" s="451">
        <f t="shared" si="62"/>
        <v>0</v>
      </c>
      <c r="AP27" s="250">
        <v>0</v>
      </c>
      <c r="AQ27" s="246">
        <v>0</v>
      </c>
      <c r="AR27" s="450">
        <v>0</v>
      </c>
      <c r="AS27" s="449">
        <v>0</v>
      </c>
      <c r="AT27" s="452">
        <f>($S27*AP27)/1000</f>
        <v>0</v>
      </c>
      <c r="AU27" s="452">
        <f>AT27*$CE$434</f>
        <v>0</v>
      </c>
      <c r="AV27" s="449">
        <f t="shared" si="63"/>
        <v>0</v>
      </c>
      <c r="AW27" s="451">
        <f t="shared" si="64"/>
        <v>0</v>
      </c>
      <c r="AX27" s="248">
        <v>0</v>
      </c>
      <c r="AY27" s="246">
        <v>0</v>
      </c>
      <c r="AZ27" s="450">
        <v>0</v>
      </c>
      <c r="BA27" s="449">
        <v>0</v>
      </c>
      <c r="BB27" s="452">
        <f t="shared" si="65"/>
        <v>0</v>
      </c>
      <c r="BC27" s="449">
        <f t="shared" si="66"/>
        <v>0</v>
      </c>
      <c r="BD27" s="451">
        <f t="shared" si="67"/>
        <v>0</v>
      </c>
      <c r="BE27" s="248">
        <v>0</v>
      </c>
      <c r="BF27" s="246">
        <v>0</v>
      </c>
      <c r="BG27" s="450">
        <v>0</v>
      </c>
      <c r="BH27" s="449">
        <v>0</v>
      </c>
      <c r="BI27" s="452">
        <f t="shared" si="68"/>
        <v>0</v>
      </c>
      <c r="BJ27" s="449">
        <f t="shared" si="69"/>
        <v>0</v>
      </c>
      <c r="BK27" s="451">
        <f t="shared" si="43"/>
        <v>0</v>
      </c>
      <c r="BL27" s="248">
        <v>0</v>
      </c>
      <c r="BM27" s="246">
        <v>0</v>
      </c>
      <c r="BN27" s="450">
        <v>0</v>
      </c>
      <c r="BO27" s="449">
        <v>0</v>
      </c>
      <c r="BP27" s="452">
        <f t="shared" si="70"/>
        <v>0</v>
      </c>
      <c r="BQ27" s="452">
        <f>BP27*$CE$435</f>
        <v>0</v>
      </c>
      <c r="BR27" s="449">
        <f t="shared" si="71"/>
        <v>0</v>
      </c>
      <c r="BS27" s="451">
        <f t="shared" si="72"/>
        <v>0</v>
      </c>
      <c r="BT27" s="248">
        <v>0</v>
      </c>
      <c r="BU27" s="246">
        <v>0</v>
      </c>
      <c r="BV27" s="450">
        <v>0</v>
      </c>
      <c r="BW27" s="449">
        <v>0</v>
      </c>
      <c r="BX27" s="452">
        <v>0</v>
      </c>
      <c r="BY27" s="449">
        <v>0</v>
      </c>
      <c r="BZ27" s="451">
        <f t="shared" si="30"/>
        <v>0</v>
      </c>
      <c r="CA27" s="242">
        <f t="shared" si="73"/>
        <v>0</v>
      </c>
      <c r="CB27" s="453">
        <f>IF(CA27&gt;0,SQRT(AG27+AO27+AW27+BD27+BS27)/CA27,0)</f>
        <v>0</v>
      </c>
      <c r="CC27" s="45">
        <f t="shared" si="50"/>
        <v>0</v>
      </c>
    </row>
    <row r="28" spans="1:155">
      <c r="B28" s="556"/>
      <c r="C28" s="239"/>
      <c r="D28" s="239"/>
      <c r="E28" s="252"/>
      <c r="F28" s="241">
        <f>VLOOKUP($E28,$CD$138:$DH$504,2,FALSE)</f>
        <v>0</v>
      </c>
      <c r="G28" s="239"/>
      <c r="H28" s="239"/>
      <c r="I28" s="239"/>
      <c r="J28" s="239"/>
      <c r="K28" s="239"/>
      <c r="L28" s="239"/>
      <c r="M28" s="239"/>
      <c r="N28" s="239"/>
      <c r="O28" s="239"/>
      <c r="P28" s="239"/>
      <c r="Q28" s="239"/>
      <c r="R28" s="239"/>
      <c r="S28" s="242">
        <f t="shared" si="53"/>
        <v>0</v>
      </c>
      <c r="T28" s="243">
        <f t="shared" si="54"/>
        <v>0</v>
      </c>
      <c r="U28" s="242">
        <f t="shared" si="55"/>
        <v>0</v>
      </c>
      <c r="V28" s="242">
        <f t="shared" si="56"/>
        <v>0</v>
      </c>
      <c r="W28" s="242">
        <f>IF(T28&gt;1,VLOOKUP($T28,$CD$414:$CE$426,2,FALSE),0)</f>
        <v>0</v>
      </c>
      <c r="X28" s="244"/>
      <c r="Y28" s="449">
        <f>IF(X28&gt;0,X28,IF(T28&gt;1,1-((U28-((V28*W28)/(SQRT(T28))))/U28),VLOOKUP($E28,$CD$138:$DK$504,34,FALSE)))</f>
        <v>0</v>
      </c>
      <c r="Z28" s="245">
        <f>VLOOKUP($E28,$CD$138:$DH$504,3,FALSE)</f>
        <v>0</v>
      </c>
      <c r="AA28" s="246">
        <f>VLOOKUP($E28,$CD$138:$DH$504,4,FALSE)</f>
        <v>0</v>
      </c>
      <c r="AB28" s="450">
        <f>IF($S28&gt;0,VLOOKUP($E28,$CD$138:$DH$504,7,FALSE),0)</f>
        <v>0</v>
      </c>
      <c r="AC28" s="449">
        <f>IF($S28&gt;0,VLOOKUP($E28,$CD$138:$DH$504,6,FALSE),0)</f>
        <v>0</v>
      </c>
      <c r="AD28" s="451">
        <f t="shared" si="57"/>
        <v>0</v>
      </c>
      <c r="AE28" s="451">
        <f>AD28*$CE$432</f>
        <v>0</v>
      </c>
      <c r="AF28" s="449">
        <f t="shared" si="58"/>
        <v>0</v>
      </c>
      <c r="AG28" s="451">
        <f t="shared" si="59"/>
        <v>0</v>
      </c>
      <c r="AH28" s="250">
        <v>0</v>
      </c>
      <c r="AI28" s="246">
        <v>0</v>
      </c>
      <c r="AJ28" s="450">
        <v>0</v>
      </c>
      <c r="AK28" s="449">
        <v>0</v>
      </c>
      <c r="AL28" s="452">
        <f t="shared" si="60"/>
        <v>0</v>
      </c>
      <c r="AM28" s="452">
        <f>AL28*$CE$433</f>
        <v>0</v>
      </c>
      <c r="AN28" s="449">
        <f t="shared" si="61"/>
        <v>0</v>
      </c>
      <c r="AO28" s="451">
        <f t="shared" si="62"/>
        <v>0</v>
      </c>
      <c r="AP28" s="250">
        <v>0</v>
      </c>
      <c r="AQ28" s="246">
        <v>0</v>
      </c>
      <c r="AR28" s="450">
        <v>0</v>
      </c>
      <c r="AS28" s="449">
        <v>0</v>
      </c>
      <c r="AT28" s="452">
        <f>($S28*AP28)/1000</f>
        <v>0</v>
      </c>
      <c r="AU28" s="452">
        <f>AT28*$CE$434</f>
        <v>0</v>
      </c>
      <c r="AV28" s="449">
        <f t="shared" si="63"/>
        <v>0</v>
      </c>
      <c r="AW28" s="451">
        <f t="shared" si="64"/>
        <v>0</v>
      </c>
      <c r="AX28" s="248">
        <v>0</v>
      </c>
      <c r="AY28" s="246">
        <v>0</v>
      </c>
      <c r="AZ28" s="450">
        <v>0</v>
      </c>
      <c r="BA28" s="449">
        <v>0</v>
      </c>
      <c r="BB28" s="452">
        <f t="shared" si="65"/>
        <v>0</v>
      </c>
      <c r="BC28" s="449">
        <f t="shared" si="66"/>
        <v>0</v>
      </c>
      <c r="BD28" s="451">
        <f t="shared" si="67"/>
        <v>0</v>
      </c>
      <c r="BE28" s="248">
        <v>0</v>
      </c>
      <c r="BF28" s="246">
        <v>0</v>
      </c>
      <c r="BG28" s="450">
        <v>0</v>
      </c>
      <c r="BH28" s="449">
        <v>0</v>
      </c>
      <c r="BI28" s="452">
        <f t="shared" si="68"/>
        <v>0</v>
      </c>
      <c r="BJ28" s="449">
        <f t="shared" si="69"/>
        <v>0</v>
      </c>
      <c r="BK28" s="451">
        <f t="shared" si="43"/>
        <v>0</v>
      </c>
      <c r="BL28" s="248">
        <v>0</v>
      </c>
      <c r="BM28" s="246">
        <v>0</v>
      </c>
      <c r="BN28" s="450">
        <v>0</v>
      </c>
      <c r="BO28" s="449">
        <v>0</v>
      </c>
      <c r="BP28" s="452">
        <f t="shared" si="70"/>
        <v>0</v>
      </c>
      <c r="BQ28" s="452">
        <f>BP28*$CE$435</f>
        <v>0</v>
      </c>
      <c r="BR28" s="449">
        <f t="shared" si="71"/>
        <v>0</v>
      </c>
      <c r="BS28" s="451">
        <f t="shared" si="72"/>
        <v>0</v>
      </c>
      <c r="BT28" s="248">
        <v>0</v>
      </c>
      <c r="BU28" s="246">
        <v>0</v>
      </c>
      <c r="BV28" s="450">
        <v>0</v>
      </c>
      <c r="BW28" s="449">
        <v>0</v>
      </c>
      <c r="BX28" s="452">
        <v>0</v>
      </c>
      <c r="BY28" s="449">
        <v>0</v>
      </c>
      <c r="BZ28" s="451">
        <f t="shared" si="30"/>
        <v>0</v>
      </c>
      <c r="CA28" s="242">
        <f t="shared" si="73"/>
        <v>0</v>
      </c>
      <c r="CB28" s="453">
        <f>IF(CA28&gt;0,SQRT(AG28+AO28+AW28+BD28+BS28)/CA28,0)</f>
        <v>0</v>
      </c>
      <c r="CC28" s="45">
        <f t="shared" si="50"/>
        <v>0</v>
      </c>
    </row>
    <row r="29" spans="1:155">
      <c r="B29" s="455" t="s">
        <v>230</v>
      </c>
      <c r="C29" s="470"/>
      <c r="D29" s="470"/>
      <c r="E29" s="456"/>
      <c r="F29" s="456"/>
      <c r="G29" s="457"/>
      <c r="H29" s="457"/>
      <c r="I29" s="457"/>
      <c r="J29" s="457"/>
      <c r="K29" s="457"/>
      <c r="L29" s="457"/>
      <c r="M29" s="457"/>
      <c r="N29" s="457"/>
      <c r="O29" s="457"/>
      <c r="P29" s="457"/>
      <c r="Q29" s="457"/>
      <c r="R29" s="457"/>
      <c r="S29" s="456"/>
      <c r="T29" s="456"/>
      <c r="U29" s="456"/>
      <c r="V29" s="456"/>
      <c r="W29" s="456"/>
      <c r="X29" s="458"/>
      <c r="Y29" s="456"/>
      <c r="Z29" s="456"/>
      <c r="AA29" s="456"/>
      <c r="AB29" s="460"/>
      <c r="AC29" s="456"/>
      <c r="AD29" s="461"/>
      <c r="AE29" s="462">
        <f>SUM(AE25:AE28)</f>
        <v>0</v>
      </c>
      <c r="AF29" s="463">
        <f>IF(AE29&gt;0,SQRT(SUM(AG25:AG28))/AE29,0)</f>
        <v>0</v>
      </c>
      <c r="AG29" s="462">
        <f t="shared" si="59"/>
        <v>0</v>
      </c>
      <c r="AH29" s="464"/>
      <c r="AI29" s="456"/>
      <c r="AJ29" s="465"/>
      <c r="AK29" s="456"/>
      <c r="AL29" s="466"/>
      <c r="AM29" s="462">
        <f>SUM(AM25:AM28)</f>
        <v>0</v>
      </c>
      <c r="AN29" s="463">
        <f>IF(AM29&gt;0,SQRT(SUM(AO25:AO28))/AM29,0)</f>
        <v>0</v>
      </c>
      <c r="AO29" s="462">
        <f t="shared" si="62"/>
        <v>0</v>
      </c>
      <c r="AP29" s="456"/>
      <c r="AQ29" s="456"/>
      <c r="AR29" s="465"/>
      <c r="AS29" s="456"/>
      <c r="AT29" s="456"/>
      <c r="AU29" s="462">
        <f>SUM(AU25:AU28)</f>
        <v>0</v>
      </c>
      <c r="AV29" s="463">
        <f>IF(AU29&gt;0,SQRT(SUM(AW25:AW28))/AU29,0)</f>
        <v>0</v>
      </c>
      <c r="AW29" s="462">
        <f t="shared" si="64"/>
        <v>0</v>
      </c>
      <c r="AX29" s="456"/>
      <c r="AY29" s="456"/>
      <c r="AZ29" s="465"/>
      <c r="BA29" s="456"/>
      <c r="BB29" s="462">
        <f>SUM(BB25:BB28)</f>
        <v>0</v>
      </c>
      <c r="BC29" s="463">
        <f>IF(BB29&gt;0,SQRT(SUM(BD25:BD28))/BB29,0)</f>
        <v>0</v>
      </c>
      <c r="BD29" s="462">
        <f t="shared" si="67"/>
        <v>0</v>
      </c>
      <c r="BE29" s="456"/>
      <c r="BF29" s="456"/>
      <c r="BG29" s="465"/>
      <c r="BH29" s="456"/>
      <c r="BI29" s="462">
        <f>SUM(BI25:BI28)</f>
        <v>0</v>
      </c>
      <c r="BJ29" s="463">
        <f>IF(BI29&gt;0,SQRT(SUM(BK25:BK28))/BI29,0)</f>
        <v>0</v>
      </c>
      <c r="BK29" s="462">
        <f t="shared" si="43"/>
        <v>0</v>
      </c>
      <c r="BL29" s="456"/>
      <c r="BM29" s="456"/>
      <c r="BN29" s="460"/>
      <c r="BO29" s="467"/>
      <c r="BP29" s="468"/>
      <c r="BQ29" s="462">
        <f>SUM(BQ25:BQ28)</f>
        <v>0</v>
      </c>
      <c r="BR29" s="463">
        <f>IF(BQ29&gt;0,SQRT(SUM(BS25:BS28))/BQ29,0)</f>
        <v>0</v>
      </c>
      <c r="BS29" s="462">
        <f t="shared" si="72"/>
        <v>0</v>
      </c>
      <c r="BT29" s="456"/>
      <c r="BU29" s="456"/>
      <c r="BV29" s="460"/>
      <c r="BW29" s="467"/>
      <c r="BX29" s="462">
        <f>SUM(BX25:BX28)</f>
        <v>0</v>
      </c>
      <c r="BY29" s="463">
        <f>IF(BX29&gt;0,SQRT(SUM(BZ25:BZ28))/BX29,0)</f>
        <v>0</v>
      </c>
      <c r="BZ29" s="462">
        <f t="shared" si="30"/>
        <v>0</v>
      </c>
      <c r="CA29" s="462">
        <f>SUM(CA25:CA28)</f>
        <v>0</v>
      </c>
      <c r="CB29" s="469">
        <f>IF(CA29&gt;0,SQRT(SUM(CC25:CC28))/CA29,0)</f>
        <v>0</v>
      </c>
      <c r="CC29" s="45">
        <f t="shared" si="50"/>
        <v>0</v>
      </c>
    </row>
    <row r="30" spans="1:155" ht="15.4">
      <c r="B30" s="253" t="s">
        <v>231</v>
      </c>
      <c r="C30" s="254"/>
      <c r="D30" s="254"/>
      <c r="E30" s="255"/>
      <c r="F30" s="255"/>
      <c r="G30" s="256"/>
      <c r="H30" s="256"/>
      <c r="I30" s="256"/>
      <c r="J30" s="256"/>
      <c r="K30" s="256"/>
      <c r="L30" s="256"/>
      <c r="M30" s="256"/>
      <c r="N30" s="256"/>
      <c r="O30" s="256"/>
      <c r="P30" s="256"/>
      <c r="Q30" s="256"/>
      <c r="R30" s="256"/>
      <c r="S30" s="255"/>
      <c r="T30" s="255"/>
      <c r="U30" s="255"/>
      <c r="V30" s="255"/>
      <c r="W30" s="255"/>
      <c r="X30" s="257"/>
      <c r="Y30" s="255"/>
      <c r="Z30" s="255"/>
      <c r="AA30" s="255"/>
      <c r="AB30" s="258"/>
      <c r="AC30" s="255"/>
      <c r="AD30" s="259"/>
      <c r="AE30" s="260">
        <f>+AE24+AE29</f>
        <v>0</v>
      </c>
      <c r="AF30" s="261">
        <f>IF(AE30&gt;0,(SQRT(AG24+AG29))/AE30,0)</f>
        <v>0</v>
      </c>
      <c r="AG30" s="260">
        <f t="shared" si="59"/>
        <v>0</v>
      </c>
      <c r="AH30" s="262"/>
      <c r="AI30" s="255"/>
      <c r="AJ30" s="263"/>
      <c r="AK30" s="255"/>
      <c r="AL30" s="264"/>
      <c r="AM30" s="260">
        <f>+AM24+AM29</f>
        <v>0</v>
      </c>
      <c r="AN30" s="261">
        <f>IF(AM30&gt;0,(SQRT(AO24+AO29))/AM30,0)</f>
        <v>0</v>
      </c>
      <c r="AO30" s="260">
        <f t="shared" si="62"/>
        <v>0</v>
      </c>
      <c r="AP30" s="255"/>
      <c r="AQ30" s="255"/>
      <c r="AR30" s="263"/>
      <c r="AS30" s="255"/>
      <c r="AT30" s="255"/>
      <c r="AU30" s="260">
        <f>+AU24+AU29</f>
        <v>0</v>
      </c>
      <c r="AV30" s="261">
        <f>IF(AU30&gt;0,(SQRT(AW24+AW29))/AU30,0)</f>
        <v>0</v>
      </c>
      <c r="AW30" s="260">
        <f t="shared" si="64"/>
        <v>0</v>
      </c>
      <c r="AX30" s="255"/>
      <c r="AY30" s="255"/>
      <c r="AZ30" s="263"/>
      <c r="BA30" s="255"/>
      <c r="BB30" s="260">
        <f>+BB24+BB29</f>
        <v>0</v>
      </c>
      <c r="BC30" s="261">
        <f>IF(BB30&gt;0,(SQRT(BD24+BD29))/BB30,0)</f>
        <v>0</v>
      </c>
      <c r="BD30" s="260">
        <f t="shared" si="67"/>
        <v>0</v>
      </c>
      <c r="BE30" s="255"/>
      <c r="BF30" s="255"/>
      <c r="BG30" s="263"/>
      <c r="BH30" s="255"/>
      <c r="BI30" s="260">
        <f>+BI24+BI29</f>
        <v>0</v>
      </c>
      <c r="BJ30" s="261">
        <f>IF(BI30&gt;0,(SQRT(BK24+BK29))/BI30,0)</f>
        <v>0</v>
      </c>
      <c r="BK30" s="260">
        <f t="shared" si="43"/>
        <v>0</v>
      </c>
      <c r="BL30" s="255"/>
      <c r="BM30" s="255"/>
      <c r="BN30" s="258"/>
      <c r="BO30" s="265"/>
      <c r="BP30" s="266"/>
      <c r="BQ30" s="260">
        <f>+BQ24+BQ29</f>
        <v>0</v>
      </c>
      <c r="BR30" s="261">
        <f>IF(BQ30&gt;0,(SQRT(BS24+BS29))/BQ30,0)</f>
        <v>0</v>
      </c>
      <c r="BS30" s="260">
        <f t="shared" si="72"/>
        <v>0</v>
      </c>
      <c r="BT30" s="255"/>
      <c r="BU30" s="255"/>
      <c r="BV30" s="258"/>
      <c r="BW30" s="265"/>
      <c r="BX30" s="260">
        <f>+BX24+BX29</f>
        <v>0</v>
      </c>
      <c r="BY30" s="261">
        <f>IF(BX30&gt;0,(SQRT(BZ24+BZ29))/BX30,0)</f>
        <v>0</v>
      </c>
      <c r="BZ30" s="260">
        <f t="shared" si="30"/>
        <v>0</v>
      </c>
      <c r="CA30" s="260">
        <f>+CA24+CA29</f>
        <v>0</v>
      </c>
      <c r="CB30" s="267">
        <f>IF(CA30&gt;0,(SQRT(CC24+CC29))/CA30,0)</f>
        <v>0</v>
      </c>
      <c r="CC30" s="45">
        <f t="shared" si="50"/>
        <v>0</v>
      </c>
    </row>
    <row r="31" spans="1:155" s="19" customFormat="1" ht="15.4">
      <c r="B31" s="268"/>
      <c r="C31" s="269"/>
      <c r="D31" s="269"/>
      <c r="E31" s="270"/>
      <c r="F31" s="270"/>
      <c r="G31" s="270"/>
      <c r="H31" s="270"/>
      <c r="I31" s="270"/>
      <c r="J31" s="270"/>
      <c r="K31" s="270"/>
      <c r="L31" s="270"/>
      <c r="M31" s="270"/>
      <c r="N31" s="270"/>
      <c r="O31" s="270"/>
      <c r="P31" s="270"/>
      <c r="Q31" s="270"/>
      <c r="R31" s="270"/>
      <c r="S31" s="270"/>
      <c r="T31" s="270"/>
      <c r="U31" s="270"/>
      <c r="V31" s="270"/>
      <c r="W31" s="270"/>
      <c r="X31" s="271"/>
      <c r="Y31" s="270"/>
      <c r="Z31" s="270"/>
      <c r="AA31" s="270"/>
      <c r="AB31" s="272"/>
      <c r="AC31" s="270"/>
      <c r="AD31" s="273"/>
      <c r="AE31" s="274"/>
      <c r="AF31" s="275"/>
      <c r="AG31" s="274"/>
      <c r="AH31" s="276"/>
      <c r="AI31" s="270"/>
      <c r="AJ31" s="277"/>
      <c r="AK31" s="270"/>
      <c r="AL31" s="278"/>
      <c r="AM31" s="274"/>
      <c r="AN31" s="275"/>
      <c r="AO31" s="274"/>
      <c r="AP31" s="270"/>
      <c r="AQ31" s="270"/>
      <c r="AR31" s="277"/>
      <c r="AS31" s="270"/>
      <c r="AT31" s="270"/>
      <c r="AU31" s="274"/>
      <c r="AV31" s="275"/>
      <c r="AW31" s="274"/>
      <c r="AX31" s="270"/>
      <c r="AY31" s="270"/>
      <c r="AZ31" s="277"/>
      <c r="BA31" s="270"/>
      <c r="BB31" s="274"/>
      <c r="BC31" s="275"/>
      <c r="BD31" s="274"/>
      <c r="BE31" s="270"/>
      <c r="BF31" s="270"/>
      <c r="BG31" s="277"/>
      <c r="BH31" s="270"/>
      <c r="BI31" s="274"/>
      <c r="BJ31" s="275"/>
      <c r="BK31" s="274"/>
      <c r="BL31" s="270"/>
      <c r="BM31" s="270"/>
      <c r="BN31" s="272"/>
      <c r="BO31" s="279"/>
      <c r="BP31" s="280"/>
      <c r="BQ31" s="274"/>
      <c r="BR31" s="275"/>
      <c r="BS31" s="274"/>
      <c r="BT31" s="270"/>
      <c r="BU31" s="270"/>
      <c r="BV31" s="272"/>
      <c r="BW31" s="279"/>
      <c r="BX31" s="274"/>
      <c r="BY31" s="275"/>
      <c r="BZ31" s="274"/>
      <c r="CA31" s="274"/>
      <c r="CB31" s="281"/>
      <c r="CC31" s="45"/>
      <c r="CD31" s="59"/>
      <c r="CE31" s="21"/>
      <c r="CF31" s="21"/>
      <c r="CG31" s="21"/>
      <c r="CH31" s="60"/>
      <c r="CI31" s="60"/>
      <c r="CJ31" s="60"/>
      <c r="CK31" s="21"/>
      <c r="CL31" s="21"/>
      <c r="CM31" s="21"/>
      <c r="CN31" s="21"/>
      <c r="CO31" s="21"/>
      <c r="CP31" s="21"/>
      <c r="CQ31" s="21"/>
      <c r="CR31" s="21"/>
      <c r="CS31" s="21"/>
      <c r="CT31" s="21"/>
      <c r="CU31" s="21"/>
      <c r="CV31" s="21"/>
      <c r="CW31" s="20"/>
      <c r="CX31" s="21"/>
      <c r="CY31" s="21"/>
      <c r="CZ31" s="20"/>
      <c r="DA31" s="20"/>
      <c r="DB31" s="20"/>
      <c r="DC31" s="20"/>
      <c r="DD31" s="21"/>
      <c r="DE31" s="21"/>
      <c r="DF31" s="20"/>
      <c r="DG31" s="20"/>
      <c r="DH31" s="20"/>
      <c r="DI31" s="22"/>
      <c r="DJ31" s="23"/>
      <c r="DK31" s="23"/>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5"/>
      <c r="ES31" s="25"/>
      <c r="ET31" s="25"/>
      <c r="EU31" s="25"/>
      <c r="EV31" s="25"/>
      <c r="EW31" s="25"/>
      <c r="EX31" s="25"/>
      <c r="EY31" s="25"/>
    </row>
    <row r="32" spans="1:155" s="36" customFormat="1" ht="21.75" customHeight="1">
      <c r="A32" s="19"/>
      <c r="B32" s="537" t="s">
        <v>232</v>
      </c>
      <c r="C32" s="538"/>
      <c r="D32" s="538"/>
      <c r="E32" s="538"/>
      <c r="F32" s="538"/>
      <c r="G32" s="538"/>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538"/>
      <c r="AY32" s="538"/>
      <c r="AZ32" s="538"/>
      <c r="BA32" s="538"/>
      <c r="BB32" s="538"/>
      <c r="BC32" s="538"/>
      <c r="BD32" s="538"/>
      <c r="BE32" s="538"/>
      <c r="BF32" s="538"/>
      <c r="BG32" s="538"/>
      <c r="BH32" s="538"/>
      <c r="BI32" s="538"/>
      <c r="BJ32" s="538"/>
      <c r="BK32" s="538"/>
      <c r="BL32" s="538"/>
      <c r="BM32" s="538"/>
      <c r="BN32" s="538"/>
      <c r="BO32" s="538"/>
      <c r="BP32" s="538"/>
      <c r="BQ32" s="538"/>
      <c r="BR32" s="538"/>
      <c r="BS32" s="538"/>
      <c r="BT32" s="538"/>
      <c r="BU32" s="538"/>
      <c r="BV32" s="538"/>
      <c r="BW32" s="538"/>
      <c r="BX32" s="538"/>
      <c r="BY32" s="538"/>
      <c r="BZ32" s="538"/>
      <c r="CA32" s="538"/>
      <c r="CB32" s="539"/>
      <c r="CC32" s="45"/>
      <c r="CE32" s="46"/>
      <c r="CF32" s="46"/>
      <c r="CG32" s="46"/>
      <c r="CH32" s="47"/>
      <c r="CI32" s="47"/>
      <c r="CJ32" s="47"/>
      <c r="CK32" s="46"/>
      <c r="CL32" s="46"/>
      <c r="CM32" s="46"/>
      <c r="CN32" s="46"/>
      <c r="CO32" s="46"/>
      <c r="CP32" s="46"/>
      <c r="CQ32" s="46"/>
      <c r="CR32" s="46"/>
      <c r="CS32" s="46"/>
      <c r="CT32" s="46"/>
      <c r="CU32" s="46"/>
      <c r="CV32" s="46"/>
      <c r="CW32" s="48"/>
      <c r="CX32" s="46"/>
      <c r="CY32" s="46"/>
      <c r="CZ32" s="48"/>
      <c r="DA32" s="48"/>
      <c r="DB32" s="48"/>
      <c r="DC32" s="48"/>
      <c r="DD32" s="46"/>
      <c r="DE32" s="46"/>
      <c r="DF32" s="48"/>
      <c r="DG32" s="48"/>
      <c r="DH32" s="48"/>
      <c r="DI32" s="49"/>
      <c r="DJ32" s="50"/>
      <c r="DK32" s="50"/>
      <c r="DL32" s="37"/>
      <c r="DM32" s="37"/>
      <c r="DN32" s="37"/>
      <c r="DO32" s="37"/>
      <c r="DP32" s="37"/>
      <c r="DQ32" s="37"/>
      <c r="DR32" s="37"/>
      <c r="DS32" s="37"/>
      <c r="DT32" s="37"/>
      <c r="DU32" s="37"/>
      <c r="DV32" s="37"/>
      <c r="DW32" s="37"/>
      <c r="DX32" s="37"/>
      <c r="DY32" s="37"/>
      <c r="DZ32" s="37"/>
      <c r="EA32" s="37"/>
      <c r="EB32" s="37"/>
      <c r="EC32" s="37"/>
      <c r="ED32" s="37"/>
      <c r="EE32" s="37"/>
      <c r="EF32" s="37"/>
      <c r="EG32" s="37"/>
      <c r="EH32" s="37"/>
      <c r="EI32" s="37"/>
      <c r="EJ32" s="37"/>
      <c r="EK32" s="37"/>
      <c r="EL32" s="37"/>
      <c r="EM32" s="37"/>
      <c r="EN32" s="37"/>
      <c r="EO32" s="37"/>
      <c r="EP32" s="37"/>
      <c r="EQ32" s="37"/>
      <c r="ER32" s="38"/>
      <c r="ES32" s="38"/>
      <c r="ET32" s="38"/>
      <c r="EU32" s="38"/>
      <c r="EV32" s="38"/>
      <c r="EW32" s="38"/>
      <c r="EX32" s="38"/>
      <c r="EY32" s="38"/>
    </row>
    <row r="33" spans="1:155" s="36" customFormat="1" ht="49.5" customHeight="1">
      <c r="A33" s="19"/>
      <c r="B33" s="546" t="s">
        <v>157</v>
      </c>
      <c r="C33" s="544" t="s">
        <v>158</v>
      </c>
      <c r="D33" s="544" t="s">
        <v>159</v>
      </c>
      <c r="E33" s="540" t="s">
        <v>160</v>
      </c>
      <c r="F33" s="540" t="s">
        <v>161</v>
      </c>
      <c r="G33" s="540"/>
      <c r="H33" s="540"/>
      <c r="I33" s="540"/>
      <c r="J33" s="540"/>
      <c r="K33" s="540"/>
      <c r="L33" s="540"/>
      <c r="M33" s="540"/>
      <c r="N33" s="540"/>
      <c r="O33" s="540"/>
      <c r="P33" s="540"/>
      <c r="Q33" s="540"/>
      <c r="R33" s="540"/>
      <c r="S33" s="540"/>
      <c r="T33" s="540"/>
      <c r="U33" s="540" t="s">
        <v>162</v>
      </c>
      <c r="V33" s="540"/>
      <c r="W33" s="540"/>
      <c r="X33" s="540"/>
      <c r="Y33" s="540"/>
      <c r="Z33" s="541" t="s">
        <v>163</v>
      </c>
      <c r="AA33" s="541"/>
      <c r="AB33" s="541"/>
      <c r="AC33" s="541"/>
      <c r="AD33" s="541"/>
      <c r="AE33" s="541"/>
      <c r="AF33" s="541"/>
      <c r="AG33" s="541"/>
      <c r="AH33" s="541" t="s">
        <v>164</v>
      </c>
      <c r="AI33" s="541"/>
      <c r="AJ33" s="541"/>
      <c r="AK33" s="541"/>
      <c r="AL33" s="541"/>
      <c r="AM33" s="541"/>
      <c r="AN33" s="541"/>
      <c r="AO33" s="541"/>
      <c r="AP33" s="541" t="s">
        <v>165</v>
      </c>
      <c r="AQ33" s="541"/>
      <c r="AR33" s="541"/>
      <c r="AS33" s="541"/>
      <c r="AT33" s="541"/>
      <c r="AU33" s="541"/>
      <c r="AV33" s="541"/>
      <c r="AW33" s="541"/>
      <c r="AX33" s="541" t="s">
        <v>166</v>
      </c>
      <c r="AY33" s="541"/>
      <c r="AZ33" s="541"/>
      <c r="BA33" s="541"/>
      <c r="BB33" s="541"/>
      <c r="BC33" s="541"/>
      <c r="BD33" s="541"/>
      <c r="BE33" s="541" t="s">
        <v>167</v>
      </c>
      <c r="BF33" s="541"/>
      <c r="BG33" s="541"/>
      <c r="BH33" s="541"/>
      <c r="BI33" s="541"/>
      <c r="BJ33" s="541"/>
      <c r="BK33" s="541"/>
      <c r="BL33" s="541" t="s">
        <v>168</v>
      </c>
      <c r="BM33" s="541"/>
      <c r="BN33" s="541"/>
      <c r="BO33" s="541"/>
      <c r="BP33" s="541"/>
      <c r="BQ33" s="541"/>
      <c r="BR33" s="541"/>
      <c r="BS33" s="541"/>
      <c r="BT33" s="541" t="s">
        <v>169</v>
      </c>
      <c r="BU33" s="541"/>
      <c r="BV33" s="541"/>
      <c r="BW33" s="541"/>
      <c r="BX33" s="541"/>
      <c r="BY33" s="541"/>
      <c r="BZ33" s="541"/>
      <c r="CA33" s="542" t="s">
        <v>170</v>
      </c>
      <c r="CB33" s="543" t="s">
        <v>41</v>
      </c>
      <c r="CC33" s="45"/>
      <c r="CE33" s="46"/>
      <c r="CF33" s="46"/>
      <c r="CG33" s="46"/>
      <c r="CH33" s="47"/>
      <c r="CI33" s="47"/>
      <c r="CJ33" s="47"/>
      <c r="CK33" s="46"/>
      <c r="CL33" s="46"/>
      <c r="CM33" s="46"/>
      <c r="CN33" s="46"/>
      <c r="CO33" s="46"/>
      <c r="CP33" s="46"/>
      <c r="CQ33" s="46"/>
      <c r="CR33" s="46"/>
      <c r="CS33" s="46"/>
      <c r="CT33" s="46"/>
      <c r="CU33" s="46"/>
      <c r="CV33" s="46"/>
      <c r="CW33" s="48"/>
      <c r="CX33" s="46"/>
      <c r="CY33" s="46"/>
      <c r="CZ33" s="48"/>
      <c r="DA33" s="48"/>
      <c r="DB33" s="48"/>
      <c r="DC33" s="48"/>
      <c r="DD33" s="46"/>
      <c r="DE33" s="46"/>
      <c r="DF33" s="48"/>
      <c r="DG33" s="48"/>
      <c r="DH33" s="48"/>
      <c r="DI33" s="49"/>
      <c r="DJ33" s="50"/>
      <c r="DK33" s="50"/>
      <c r="DL33" s="37"/>
      <c r="DM33" s="37"/>
      <c r="DN33" s="37"/>
      <c r="DO33" s="37"/>
      <c r="DP33" s="37"/>
      <c r="DQ33" s="37"/>
      <c r="DR33" s="37"/>
      <c r="DS33" s="37"/>
      <c r="DT33" s="37"/>
      <c r="DU33" s="37"/>
      <c r="DV33" s="37"/>
      <c r="DW33" s="37"/>
      <c r="DX33" s="37"/>
      <c r="DY33" s="37"/>
      <c r="DZ33" s="37"/>
      <c r="EA33" s="37"/>
      <c r="EB33" s="37"/>
      <c r="EC33" s="37"/>
      <c r="ED33" s="37"/>
      <c r="EE33" s="37"/>
      <c r="EF33" s="37"/>
      <c r="EG33" s="37"/>
      <c r="EH33" s="37"/>
      <c r="EI33" s="37"/>
      <c r="EJ33" s="37"/>
      <c r="EK33" s="37"/>
      <c r="EL33" s="37"/>
      <c r="EM33" s="37"/>
      <c r="EN33" s="37"/>
      <c r="EO33" s="37"/>
      <c r="EP33" s="37"/>
      <c r="EQ33" s="37"/>
      <c r="ER33" s="38"/>
      <c r="ES33" s="38"/>
      <c r="ET33" s="38"/>
      <c r="EU33" s="38"/>
      <c r="EV33" s="38"/>
      <c r="EW33" s="38"/>
      <c r="EX33" s="38"/>
      <c r="EY33" s="38"/>
    </row>
    <row r="34" spans="1:155" s="36" customFormat="1" ht="75" customHeight="1">
      <c r="A34" s="19"/>
      <c r="B34" s="547"/>
      <c r="C34" s="545"/>
      <c r="D34" s="545"/>
      <c r="E34" s="540"/>
      <c r="F34" s="444" t="s">
        <v>171</v>
      </c>
      <c r="G34" s="444" t="s">
        <v>172</v>
      </c>
      <c r="H34" s="444" t="s">
        <v>173</v>
      </c>
      <c r="I34" s="444" t="s">
        <v>174</v>
      </c>
      <c r="J34" s="444" t="s">
        <v>175</v>
      </c>
      <c r="K34" s="444" t="s">
        <v>176</v>
      </c>
      <c r="L34" s="444" t="s">
        <v>177</v>
      </c>
      <c r="M34" s="444" t="s">
        <v>178</v>
      </c>
      <c r="N34" s="444" t="s">
        <v>179</v>
      </c>
      <c r="O34" s="444" t="s">
        <v>180</v>
      </c>
      <c r="P34" s="444" t="s">
        <v>181</v>
      </c>
      <c r="Q34" s="444" t="s">
        <v>182</v>
      </c>
      <c r="R34" s="444" t="s">
        <v>183</v>
      </c>
      <c r="S34" s="444" t="s">
        <v>184</v>
      </c>
      <c r="T34" s="444" t="s">
        <v>185</v>
      </c>
      <c r="U34" s="444" t="s">
        <v>186</v>
      </c>
      <c r="V34" s="444" t="s">
        <v>187</v>
      </c>
      <c r="W34" s="444" t="s">
        <v>188</v>
      </c>
      <c r="X34" s="445" t="s">
        <v>189</v>
      </c>
      <c r="Y34" s="237" t="s">
        <v>162</v>
      </c>
      <c r="Z34" s="542" t="s">
        <v>190</v>
      </c>
      <c r="AA34" s="542"/>
      <c r="AB34" s="446" t="s">
        <v>191</v>
      </c>
      <c r="AC34" s="444" t="s">
        <v>192</v>
      </c>
      <c r="AD34" s="447" t="s">
        <v>193</v>
      </c>
      <c r="AE34" s="447" t="s">
        <v>193</v>
      </c>
      <c r="AF34" s="237" t="s">
        <v>194</v>
      </c>
      <c r="AG34" s="447" t="s">
        <v>195</v>
      </c>
      <c r="AH34" s="542" t="s">
        <v>196</v>
      </c>
      <c r="AI34" s="542"/>
      <c r="AJ34" s="446" t="s">
        <v>191</v>
      </c>
      <c r="AK34" s="237" t="s">
        <v>197</v>
      </c>
      <c r="AL34" s="448" t="s">
        <v>198</v>
      </c>
      <c r="AM34" s="448" t="s">
        <v>199</v>
      </c>
      <c r="AN34" s="237" t="s">
        <v>200</v>
      </c>
      <c r="AO34" s="447" t="s">
        <v>195</v>
      </c>
      <c r="AP34" s="542" t="s">
        <v>201</v>
      </c>
      <c r="AQ34" s="542"/>
      <c r="AR34" s="446" t="s">
        <v>191</v>
      </c>
      <c r="AS34" s="237" t="s">
        <v>202</v>
      </c>
      <c r="AT34" s="444" t="s">
        <v>203</v>
      </c>
      <c r="AU34" s="444" t="s">
        <v>204</v>
      </c>
      <c r="AV34" s="237" t="s">
        <v>205</v>
      </c>
      <c r="AW34" s="447" t="s">
        <v>195</v>
      </c>
      <c r="AX34" s="542" t="s">
        <v>206</v>
      </c>
      <c r="AY34" s="542"/>
      <c r="AZ34" s="446" t="s">
        <v>191</v>
      </c>
      <c r="BA34" s="237" t="s">
        <v>207</v>
      </c>
      <c r="BB34" s="447" t="s">
        <v>233</v>
      </c>
      <c r="BC34" s="237" t="s">
        <v>209</v>
      </c>
      <c r="BD34" s="447" t="s">
        <v>195</v>
      </c>
      <c r="BE34" s="542" t="s">
        <v>210</v>
      </c>
      <c r="BF34" s="542"/>
      <c r="BG34" s="446" t="s">
        <v>191</v>
      </c>
      <c r="BH34" s="237" t="s">
        <v>211</v>
      </c>
      <c r="BI34" s="447" t="s">
        <v>234</v>
      </c>
      <c r="BJ34" s="237" t="s">
        <v>213</v>
      </c>
      <c r="BK34" s="447" t="s">
        <v>195</v>
      </c>
      <c r="BL34" s="542" t="s">
        <v>214</v>
      </c>
      <c r="BM34" s="542"/>
      <c r="BN34" s="446" t="s">
        <v>191</v>
      </c>
      <c r="BO34" s="237" t="s">
        <v>215</v>
      </c>
      <c r="BP34" s="447" t="s">
        <v>235</v>
      </c>
      <c r="BQ34" s="447" t="s">
        <v>236</v>
      </c>
      <c r="BR34" s="237" t="s">
        <v>218</v>
      </c>
      <c r="BS34" s="447" t="s">
        <v>195</v>
      </c>
      <c r="BT34" s="542" t="s">
        <v>219</v>
      </c>
      <c r="BU34" s="542"/>
      <c r="BV34" s="446" t="s">
        <v>191</v>
      </c>
      <c r="BW34" s="237" t="s">
        <v>220</v>
      </c>
      <c r="BX34" s="447" t="s">
        <v>237</v>
      </c>
      <c r="BY34" s="237" t="s">
        <v>222</v>
      </c>
      <c r="BZ34" s="447" t="s">
        <v>195</v>
      </c>
      <c r="CA34" s="542"/>
      <c r="CB34" s="543"/>
      <c r="CC34" s="45" t="s">
        <v>223</v>
      </c>
      <c r="CE34" s="46"/>
      <c r="CF34" s="46"/>
      <c r="CG34" s="46"/>
      <c r="CH34" s="47"/>
      <c r="CI34" s="47"/>
      <c r="CJ34" s="47"/>
      <c r="CK34" s="46"/>
      <c r="CL34" s="46"/>
      <c r="CM34" s="46"/>
      <c r="CN34" s="46"/>
      <c r="CO34" s="46"/>
      <c r="CP34" s="46"/>
      <c r="CQ34" s="46"/>
      <c r="CR34" s="46"/>
      <c r="CS34" s="46"/>
      <c r="CT34" s="46"/>
      <c r="CU34" s="46"/>
      <c r="CV34" s="46"/>
      <c r="CW34" s="48"/>
      <c r="CX34" s="46"/>
      <c r="CY34" s="46"/>
      <c r="CZ34" s="48"/>
      <c r="DA34" s="48"/>
      <c r="DB34" s="48"/>
      <c r="DC34" s="48"/>
      <c r="DD34" s="46"/>
      <c r="DE34" s="46"/>
      <c r="DF34" s="48"/>
      <c r="DG34" s="48"/>
      <c r="DH34" s="48"/>
      <c r="DI34" s="49"/>
      <c r="DJ34" s="50"/>
      <c r="DK34" s="50"/>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8"/>
      <c r="ES34" s="38"/>
      <c r="ET34" s="38"/>
      <c r="EU34" s="38"/>
      <c r="EV34" s="38"/>
      <c r="EW34" s="38"/>
      <c r="EX34" s="38"/>
      <c r="EY34" s="38"/>
    </row>
    <row r="35" spans="1:155" ht="15" customHeight="1">
      <c r="B35" s="238" t="s">
        <v>238</v>
      </c>
      <c r="C35" s="239"/>
      <c r="D35" s="239"/>
      <c r="E35" s="252"/>
      <c r="F35" s="241">
        <f t="shared" ref="F35:F45" si="74">VLOOKUP($E35,$CD$138:$DH$504,2,FALSE)</f>
        <v>0</v>
      </c>
      <c r="G35" s="239"/>
      <c r="H35" s="239"/>
      <c r="I35" s="239"/>
      <c r="J35" s="239"/>
      <c r="K35" s="239"/>
      <c r="L35" s="239"/>
      <c r="M35" s="239"/>
      <c r="N35" s="239"/>
      <c r="O35" s="239"/>
      <c r="P35" s="239"/>
      <c r="Q35" s="239"/>
      <c r="R35" s="239"/>
      <c r="S35" s="242">
        <f t="shared" ref="S35:S45" si="75">SUM(G35:R35)</f>
        <v>0</v>
      </c>
      <c r="T35" s="243">
        <f t="shared" ref="T35:T45" si="76">COUNT(G35:R35)</f>
        <v>0</v>
      </c>
      <c r="U35" s="242">
        <f t="shared" ref="U35:U45" si="77">IF(T35&gt;1,AVERAGE(G35:R35),0)</f>
        <v>0</v>
      </c>
      <c r="V35" s="242">
        <f t="shared" ref="V35:V45" si="78">IF(T35&gt;1,STDEV(G35:R35),0)</f>
        <v>0</v>
      </c>
      <c r="W35" s="242">
        <f t="shared" ref="W35:W45" si="79">IF(T35&gt;1,VLOOKUP($T35,$CD$414:$CE$426,2,FALSE),0)</f>
        <v>0</v>
      </c>
      <c r="X35" s="244"/>
      <c r="Y35" s="449">
        <f t="shared" ref="Y35:Y45" si="80">IF(X35&gt;0,X35,IF(T35&gt;1,1-((U35-((V35*W35)/(SQRT(T35))))/U35),VLOOKUP($E35,$CD$138:$DK$504,34,FALSE)))</f>
        <v>0</v>
      </c>
      <c r="Z35" s="245">
        <f t="shared" ref="Z35:Z45" si="81">VLOOKUP($E35,$CD$138:$DH$504,3,FALSE)</f>
        <v>0</v>
      </c>
      <c r="AA35" s="246">
        <f t="shared" ref="AA35:AA45" si="82">VLOOKUP($E35,$CD$138:$DH$504,4,FALSE)</f>
        <v>0</v>
      </c>
      <c r="AB35" s="450">
        <f t="shared" ref="AB35:AB45" si="83">IF($S35&gt;0,VLOOKUP($E35,$CD$138:$DH$504,7,FALSE),0)</f>
        <v>0</v>
      </c>
      <c r="AC35" s="449">
        <f t="shared" ref="AC35:AC45" si="84">IF($S35&gt;0,VLOOKUP($E35,$CD$138:$DH$504,6,FALSE),0)</f>
        <v>0</v>
      </c>
      <c r="AD35" s="451">
        <f t="shared" ref="AD35:AD45" si="85">($S35*Z35)/1000</f>
        <v>0</v>
      </c>
      <c r="AE35" s="451">
        <f t="shared" ref="AE35:AE45" si="86">AD35*$CE$432</f>
        <v>0</v>
      </c>
      <c r="AF35" s="449">
        <f t="shared" ref="AF35:AF45" si="87">IF(AD35&gt;0,SQRT(($Y35*$Y35)+(AC35*AC35)),0)</f>
        <v>0</v>
      </c>
      <c r="AG35" s="451">
        <f t="shared" ref="AG35:AG45" si="88">(AE35*AF35)^2</f>
        <v>0</v>
      </c>
      <c r="AH35" s="250">
        <f t="shared" ref="AH35:AH45" si="89">VLOOKUP($E35,$CD$138:$DH$504,9,FALSE)</f>
        <v>0</v>
      </c>
      <c r="AI35" s="246">
        <f t="shared" ref="AI35:AI45" si="90">VLOOKUP($E35,$CD$138:$DH$504,10,FALSE)</f>
        <v>0</v>
      </c>
      <c r="AJ35" s="450">
        <f t="shared" ref="AJ35:AJ45" si="91">IF($S35&gt;0,VLOOKUP($E35,$CD$138:$DH$504,13,FALSE),0)</f>
        <v>0</v>
      </c>
      <c r="AK35" s="449">
        <f t="shared" ref="AK35:AK45" si="92">IF($S35&gt;0,VLOOKUP($E35,$CD$138:$DH$504,12,FALSE),0)</f>
        <v>0</v>
      </c>
      <c r="AL35" s="452">
        <f t="shared" ref="AL35:AL45" si="93">($S35*AH35)/1000</f>
        <v>0</v>
      </c>
      <c r="AM35" s="452">
        <f t="shared" ref="AM35:AM45" si="94">AL35*$CE$433</f>
        <v>0</v>
      </c>
      <c r="AN35" s="449">
        <f t="shared" ref="AN35:AN45" si="95">IF(AL35&gt;0,SQRT(($Y35*$Y35)+(AK35*AK35)),0)</f>
        <v>0</v>
      </c>
      <c r="AO35" s="451">
        <f t="shared" ref="AO35:AO45" si="96">(AM35*AN35)^2</f>
        <v>0</v>
      </c>
      <c r="AP35" s="250">
        <f t="shared" ref="AP35:AP45" si="97">VLOOKUP($E35,$CD$138:$DH$504,15,FALSE)</f>
        <v>0</v>
      </c>
      <c r="AQ35" s="246">
        <f t="shared" ref="AQ35:AQ45" si="98">VLOOKUP($E35,$CD$138:$DH$504,16,FALSE)</f>
        <v>0</v>
      </c>
      <c r="AR35" s="450">
        <f t="shared" ref="AR35:AR45" si="99">IF($S35&gt;0,VLOOKUP($E35,$CD$138:$DH$504,19,FALSE),0)</f>
        <v>0</v>
      </c>
      <c r="AS35" s="449">
        <f t="shared" ref="AS35:AS45" si="100">IF($S35&gt;0,VLOOKUP($E35,$CD$138:$DH$504,18,FALSE),0)</f>
        <v>0</v>
      </c>
      <c r="AT35" s="452">
        <f t="shared" ref="AT35:AT45" si="101">($S35*AP35)/1000</f>
        <v>0</v>
      </c>
      <c r="AU35" s="452">
        <f t="shared" ref="AU35:AU45" si="102">AT35*$CE$434</f>
        <v>0</v>
      </c>
      <c r="AV35" s="449">
        <f t="shared" ref="AV35:AV45" si="103">IF(AT35&gt;0,SQRT(($Y35*$Y35)+(AS35*AS35)),0)</f>
        <v>0</v>
      </c>
      <c r="AW35" s="451">
        <f t="shared" ref="AW35:AW45" si="104">(AU35*AV35)^2</f>
        <v>0</v>
      </c>
      <c r="AX35" s="248">
        <v>0</v>
      </c>
      <c r="AY35" s="246">
        <v>0</v>
      </c>
      <c r="AZ35" s="450">
        <v>0</v>
      </c>
      <c r="BA35" s="449">
        <v>0</v>
      </c>
      <c r="BB35" s="452">
        <f t="shared" ref="BB35:BB45" si="105">($S35*AX35)/1000</f>
        <v>0</v>
      </c>
      <c r="BC35" s="449">
        <f t="shared" ref="BC35:BC45" si="106">IF(BB35&gt;0,SQRT(($Y35*$Y35)+(BA35*BA35)),0)</f>
        <v>0</v>
      </c>
      <c r="BD35" s="451">
        <f t="shared" ref="BD35:BD45" si="107">(BB35*BC35)^2</f>
        <v>0</v>
      </c>
      <c r="BE35" s="248">
        <v>0</v>
      </c>
      <c r="BF35" s="246">
        <v>0</v>
      </c>
      <c r="BG35" s="450">
        <v>0</v>
      </c>
      <c r="BH35" s="449">
        <v>0</v>
      </c>
      <c r="BI35" s="452">
        <f t="shared" ref="BI35:BI45" si="108">($S35*BE35)/1000</f>
        <v>0</v>
      </c>
      <c r="BJ35" s="449">
        <f t="shared" ref="BJ35:BJ45" si="109">IF(BI35&gt;0,SQRT(($Y35*$Y35)+(BH35*BH35)),0)</f>
        <v>0</v>
      </c>
      <c r="BK35" s="451">
        <f t="shared" ref="BK35:BK40" si="110">(BI35*BJ35)^2</f>
        <v>0</v>
      </c>
      <c r="BL35" s="248">
        <v>0</v>
      </c>
      <c r="BM35" s="246">
        <v>0</v>
      </c>
      <c r="BN35" s="450">
        <v>0</v>
      </c>
      <c r="BO35" s="449">
        <v>0</v>
      </c>
      <c r="BP35" s="452">
        <f t="shared" ref="BP35:BP45" si="111">($S35*BL35)/1000</f>
        <v>0</v>
      </c>
      <c r="BQ35" s="452">
        <f t="shared" ref="BQ35:BQ45" si="112">BP35*$CE$435</f>
        <v>0</v>
      </c>
      <c r="BR35" s="449">
        <f t="shared" ref="BR35:BR45" si="113">IF(BP35&gt;0,SQRT(($Y35*$Y35)+(BO35*BO35)),0)</f>
        <v>0</v>
      </c>
      <c r="BS35" s="451">
        <f t="shared" ref="BS35:BS45" si="114">(BQ35*BR35)^2</f>
        <v>0</v>
      </c>
      <c r="BT35" s="245">
        <f t="shared" ref="BT35:BT45" si="115">VLOOKUP($E35,$CD$138:$DI$504,32,FALSE)</f>
        <v>0</v>
      </c>
      <c r="BU35" s="246">
        <f t="shared" ref="BU35:BU45" si="116">VLOOKUP($E35,$CD$138:$DH$504,4,FALSE)</f>
        <v>0</v>
      </c>
      <c r="BV35" s="450">
        <f t="shared" ref="BV35:BV45" si="117">IF($S35&gt;0,VLOOKUP($E35,$CD$138:$DH$504,7,FALSE),0)</f>
        <v>0</v>
      </c>
      <c r="BW35" s="449">
        <f t="shared" ref="BW35:BW45" si="118">IF($S35&gt;0,VLOOKUP($E35,$CD$138:$DH$504,6,FALSE),0)</f>
        <v>0</v>
      </c>
      <c r="BX35" s="452">
        <f t="shared" ref="BX35:BX45" si="119">($S35*BT35)/1000</f>
        <v>0</v>
      </c>
      <c r="BY35" s="449">
        <f t="shared" ref="BY35:BY45" si="120">IF(BX35&gt;0,SQRT(($Y35*$Y35)+(BW35*BW35)),0)</f>
        <v>0</v>
      </c>
      <c r="BZ35" s="451">
        <f t="shared" ref="BZ35:BZ45" si="121">(BX35*BY35)^2</f>
        <v>0</v>
      </c>
      <c r="CA35" s="242">
        <f t="shared" ref="CA35:CA45" si="122">IF(C35="EmisionesGEI",D35,AE35+AM35+AU35+BB35+BQ35)</f>
        <v>0</v>
      </c>
      <c r="CB35" s="453">
        <f t="shared" ref="CB35:CB45" si="123">IF(CA35&gt;0,SQRT(AG35+AO35+AW35+BD35+BS35)/CA35,0)</f>
        <v>0</v>
      </c>
      <c r="CC35" s="45">
        <f t="shared" si="50"/>
        <v>0</v>
      </c>
    </row>
    <row r="36" spans="1:155">
      <c r="B36" s="249" t="s">
        <v>239</v>
      </c>
      <c r="C36" s="239"/>
      <c r="D36" s="239"/>
      <c r="E36" s="252"/>
      <c r="F36" s="241">
        <f t="shared" si="74"/>
        <v>0</v>
      </c>
      <c r="G36" s="239"/>
      <c r="H36" s="239"/>
      <c r="I36" s="239"/>
      <c r="J36" s="239"/>
      <c r="K36" s="239"/>
      <c r="L36" s="239"/>
      <c r="M36" s="239"/>
      <c r="N36" s="239"/>
      <c r="O36" s="239"/>
      <c r="P36" s="239"/>
      <c r="Q36" s="239"/>
      <c r="R36" s="239"/>
      <c r="S36" s="242">
        <f t="shared" si="75"/>
        <v>0</v>
      </c>
      <c r="T36" s="243">
        <f t="shared" si="76"/>
        <v>0</v>
      </c>
      <c r="U36" s="242">
        <f t="shared" si="77"/>
        <v>0</v>
      </c>
      <c r="V36" s="242">
        <f t="shared" si="78"/>
        <v>0</v>
      </c>
      <c r="W36" s="242">
        <f t="shared" si="79"/>
        <v>0</v>
      </c>
      <c r="X36" s="244"/>
      <c r="Y36" s="449">
        <f t="shared" si="80"/>
        <v>0</v>
      </c>
      <c r="Z36" s="245">
        <f t="shared" si="81"/>
        <v>0</v>
      </c>
      <c r="AA36" s="246">
        <f t="shared" si="82"/>
        <v>0</v>
      </c>
      <c r="AB36" s="450">
        <f t="shared" si="83"/>
        <v>0</v>
      </c>
      <c r="AC36" s="449">
        <f t="shared" si="84"/>
        <v>0</v>
      </c>
      <c r="AD36" s="451">
        <f t="shared" si="85"/>
        <v>0</v>
      </c>
      <c r="AE36" s="451">
        <f t="shared" si="86"/>
        <v>0</v>
      </c>
      <c r="AF36" s="449">
        <f t="shared" si="87"/>
        <v>0</v>
      </c>
      <c r="AG36" s="451">
        <f t="shared" si="88"/>
        <v>0</v>
      </c>
      <c r="AH36" s="250">
        <f t="shared" si="89"/>
        <v>0</v>
      </c>
      <c r="AI36" s="246">
        <f t="shared" si="90"/>
        <v>0</v>
      </c>
      <c r="AJ36" s="450">
        <f t="shared" si="91"/>
        <v>0</v>
      </c>
      <c r="AK36" s="449">
        <f t="shared" si="92"/>
        <v>0</v>
      </c>
      <c r="AL36" s="452">
        <f t="shared" si="93"/>
        <v>0</v>
      </c>
      <c r="AM36" s="452">
        <f t="shared" si="94"/>
        <v>0</v>
      </c>
      <c r="AN36" s="449">
        <f t="shared" si="95"/>
        <v>0</v>
      </c>
      <c r="AO36" s="451">
        <f t="shared" si="96"/>
        <v>0</v>
      </c>
      <c r="AP36" s="250">
        <f t="shared" si="97"/>
        <v>0</v>
      </c>
      <c r="AQ36" s="246">
        <f t="shared" si="98"/>
        <v>0</v>
      </c>
      <c r="AR36" s="450">
        <f t="shared" si="99"/>
        <v>0</v>
      </c>
      <c r="AS36" s="449">
        <f t="shared" si="100"/>
        <v>0</v>
      </c>
      <c r="AT36" s="452">
        <f t="shared" si="101"/>
        <v>0</v>
      </c>
      <c r="AU36" s="452">
        <f t="shared" si="102"/>
        <v>0</v>
      </c>
      <c r="AV36" s="449">
        <f t="shared" si="103"/>
        <v>0</v>
      </c>
      <c r="AW36" s="451">
        <f t="shared" si="104"/>
        <v>0</v>
      </c>
      <c r="AX36" s="248">
        <v>0</v>
      </c>
      <c r="AY36" s="246">
        <v>0</v>
      </c>
      <c r="AZ36" s="450">
        <v>0</v>
      </c>
      <c r="BA36" s="449">
        <v>0</v>
      </c>
      <c r="BB36" s="452">
        <f t="shared" si="105"/>
        <v>0</v>
      </c>
      <c r="BC36" s="449">
        <f t="shared" si="106"/>
        <v>0</v>
      </c>
      <c r="BD36" s="451">
        <f t="shared" si="107"/>
        <v>0</v>
      </c>
      <c r="BE36" s="248">
        <v>0</v>
      </c>
      <c r="BF36" s="246">
        <v>0</v>
      </c>
      <c r="BG36" s="450">
        <v>0</v>
      </c>
      <c r="BH36" s="449">
        <v>0</v>
      </c>
      <c r="BI36" s="452">
        <f t="shared" si="108"/>
        <v>0</v>
      </c>
      <c r="BJ36" s="449">
        <f t="shared" si="109"/>
        <v>0</v>
      </c>
      <c r="BK36" s="451">
        <f t="shared" si="110"/>
        <v>0</v>
      </c>
      <c r="BL36" s="248">
        <v>0</v>
      </c>
      <c r="BM36" s="246">
        <v>0</v>
      </c>
      <c r="BN36" s="450">
        <v>0</v>
      </c>
      <c r="BO36" s="449">
        <v>0</v>
      </c>
      <c r="BP36" s="452">
        <f t="shared" si="111"/>
        <v>0</v>
      </c>
      <c r="BQ36" s="452">
        <f t="shared" si="112"/>
        <v>0</v>
      </c>
      <c r="BR36" s="449">
        <f t="shared" si="113"/>
        <v>0</v>
      </c>
      <c r="BS36" s="451">
        <f t="shared" si="114"/>
        <v>0</v>
      </c>
      <c r="BT36" s="245">
        <f t="shared" si="115"/>
        <v>0</v>
      </c>
      <c r="BU36" s="246">
        <f t="shared" si="116"/>
        <v>0</v>
      </c>
      <c r="BV36" s="450">
        <f t="shared" si="117"/>
        <v>0</v>
      </c>
      <c r="BW36" s="449">
        <f t="shared" si="118"/>
        <v>0</v>
      </c>
      <c r="BX36" s="452">
        <f t="shared" si="119"/>
        <v>0</v>
      </c>
      <c r="BY36" s="449">
        <f t="shared" si="120"/>
        <v>0</v>
      </c>
      <c r="BZ36" s="451">
        <f t="shared" si="121"/>
        <v>0</v>
      </c>
      <c r="CA36" s="242">
        <f t="shared" si="122"/>
        <v>0</v>
      </c>
      <c r="CB36" s="453">
        <f t="shared" si="123"/>
        <v>0</v>
      </c>
      <c r="CC36" s="45">
        <f t="shared" si="50"/>
        <v>0</v>
      </c>
    </row>
    <row r="37" spans="1:155">
      <c r="B37" s="249"/>
      <c r="C37" s="239"/>
      <c r="D37" s="239"/>
      <c r="E37" s="252"/>
      <c r="F37" s="241">
        <f t="shared" si="74"/>
        <v>0</v>
      </c>
      <c r="G37" s="239"/>
      <c r="H37" s="239"/>
      <c r="I37" s="239"/>
      <c r="J37" s="239"/>
      <c r="K37" s="239"/>
      <c r="L37" s="239"/>
      <c r="M37" s="239"/>
      <c r="N37" s="239"/>
      <c r="O37" s="239"/>
      <c r="P37" s="239"/>
      <c r="Q37" s="239"/>
      <c r="R37" s="239"/>
      <c r="S37" s="242">
        <f t="shared" si="75"/>
        <v>0</v>
      </c>
      <c r="T37" s="243">
        <f t="shared" si="76"/>
        <v>0</v>
      </c>
      <c r="U37" s="242">
        <f t="shared" si="77"/>
        <v>0</v>
      </c>
      <c r="V37" s="242">
        <f t="shared" si="78"/>
        <v>0</v>
      </c>
      <c r="W37" s="242">
        <f t="shared" si="79"/>
        <v>0</v>
      </c>
      <c r="X37" s="244"/>
      <c r="Y37" s="449">
        <f t="shared" si="80"/>
        <v>0</v>
      </c>
      <c r="Z37" s="245">
        <f t="shared" si="81"/>
        <v>0</v>
      </c>
      <c r="AA37" s="246">
        <f t="shared" si="82"/>
        <v>0</v>
      </c>
      <c r="AB37" s="450">
        <f t="shared" si="83"/>
        <v>0</v>
      </c>
      <c r="AC37" s="449">
        <f t="shared" si="84"/>
        <v>0</v>
      </c>
      <c r="AD37" s="451">
        <f t="shared" si="85"/>
        <v>0</v>
      </c>
      <c r="AE37" s="451">
        <f t="shared" si="86"/>
        <v>0</v>
      </c>
      <c r="AF37" s="449">
        <f t="shared" si="87"/>
        <v>0</v>
      </c>
      <c r="AG37" s="451">
        <f t="shared" si="88"/>
        <v>0</v>
      </c>
      <c r="AH37" s="250">
        <f t="shared" si="89"/>
        <v>0</v>
      </c>
      <c r="AI37" s="246">
        <f t="shared" si="90"/>
        <v>0</v>
      </c>
      <c r="AJ37" s="450">
        <f t="shared" si="91"/>
        <v>0</v>
      </c>
      <c r="AK37" s="449">
        <f t="shared" si="92"/>
        <v>0</v>
      </c>
      <c r="AL37" s="452">
        <f t="shared" si="93"/>
        <v>0</v>
      </c>
      <c r="AM37" s="452">
        <f t="shared" si="94"/>
        <v>0</v>
      </c>
      <c r="AN37" s="449">
        <f t="shared" si="95"/>
        <v>0</v>
      </c>
      <c r="AO37" s="451">
        <f t="shared" si="96"/>
        <v>0</v>
      </c>
      <c r="AP37" s="250">
        <f t="shared" si="97"/>
        <v>0</v>
      </c>
      <c r="AQ37" s="246">
        <f t="shared" si="98"/>
        <v>0</v>
      </c>
      <c r="AR37" s="450">
        <f t="shared" si="99"/>
        <v>0</v>
      </c>
      <c r="AS37" s="449">
        <f t="shared" si="100"/>
        <v>0</v>
      </c>
      <c r="AT37" s="452">
        <f t="shared" si="101"/>
        <v>0</v>
      </c>
      <c r="AU37" s="452">
        <f t="shared" si="102"/>
        <v>0</v>
      </c>
      <c r="AV37" s="449">
        <f t="shared" si="103"/>
        <v>0</v>
      </c>
      <c r="AW37" s="451">
        <f t="shared" si="104"/>
        <v>0</v>
      </c>
      <c r="AX37" s="248">
        <v>0</v>
      </c>
      <c r="AY37" s="246">
        <v>0</v>
      </c>
      <c r="AZ37" s="450">
        <v>0</v>
      </c>
      <c r="BA37" s="449">
        <v>0</v>
      </c>
      <c r="BB37" s="452">
        <f t="shared" si="105"/>
        <v>0</v>
      </c>
      <c r="BC37" s="449">
        <f t="shared" si="106"/>
        <v>0</v>
      </c>
      <c r="BD37" s="451">
        <f t="shared" si="107"/>
        <v>0</v>
      </c>
      <c r="BE37" s="248">
        <v>0</v>
      </c>
      <c r="BF37" s="246">
        <v>0</v>
      </c>
      <c r="BG37" s="450">
        <v>0</v>
      </c>
      <c r="BH37" s="449">
        <v>0</v>
      </c>
      <c r="BI37" s="452">
        <f t="shared" si="108"/>
        <v>0</v>
      </c>
      <c r="BJ37" s="449">
        <f t="shared" si="109"/>
        <v>0</v>
      </c>
      <c r="BK37" s="451">
        <f t="shared" si="110"/>
        <v>0</v>
      </c>
      <c r="BL37" s="248">
        <v>0</v>
      </c>
      <c r="BM37" s="246">
        <v>0</v>
      </c>
      <c r="BN37" s="450">
        <v>0</v>
      </c>
      <c r="BO37" s="449">
        <v>0</v>
      </c>
      <c r="BP37" s="452">
        <f t="shared" si="111"/>
        <v>0</v>
      </c>
      <c r="BQ37" s="452">
        <f t="shared" si="112"/>
        <v>0</v>
      </c>
      <c r="BR37" s="449">
        <f t="shared" si="113"/>
        <v>0</v>
      </c>
      <c r="BS37" s="451">
        <f t="shared" si="114"/>
        <v>0</v>
      </c>
      <c r="BT37" s="245">
        <f t="shared" si="115"/>
        <v>0</v>
      </c>
      <c r="BU37" s="246">
        <f t="shared" si="116"/>
        <v>0</v>
      </c>
      <c r="BV37" s="450">
        <f t="shared" si="117"/>
        <v>0</v>
      </c>
      <c r="BW37" s="449">
        <f t="shared" si="118"/>
        <v>0</v>
      </c>
      <c r="BX37" s="452">
        <f t="shared" si="119"/>
        <v>0</v>
      </c>
      <c r="BY37" s="449">
        <f t="shared" si="120"/>
        <v>0</v>
      </c>
      <c r="BZ37" s="451">
        <f t="shared" si="121"/>
        <v>0</v>
      </c>
      <c r="CA37" s="242">
        <f t="shared" si="122"/>
        <v>0</v>
      </c>
      <c r="CB37" s="453">
        <f t="shared" si="123"/>
        <v>0</v>
      </c>
      <c r="CC37" s="45">
        <f t="shared" si="50"/>
        <v>0</v>
      </c>
    </row>
    <row r="38" spans="1:155">
      <c r="B38" s="251"/>
      <c r="C38" s="239"/>
      <c r="D38" s="239"/>
      <c r="E38" s="240"/>
      <c r="F38" s="241">
        <f t="shared" si="74"/>
        <v>0</v>
      </c>
      <c r="G38" s="239"/>
      <c r="H38" s="239"/>
      <c r="I38" s="239"/>
      <c r="J38" s="239"/>
      <c r="K38" s="239"/>
      <c r="L38" s="239"/>
      <c r="M38" s="239"/>
      <c r="N38" s="239"/>
      <c r="O38" s="239"/>
      <c r="P38" s="239"/>
      <c r="Q38" s="239"/>
      <c r="R38" s="239"/>
      <c r="S38" s="242">
        <f t="shared" si="75"/>
        <v>0</v>
      </c>
      <c r="T38" s="243">
        <f t="shared" si="76"/>
        <v>0</v>
      </c>
      <c r="U38" s="242">
        <f t="shared" si="77"/>
        <v>0</v>
      </c>
      <c r="V38" s="242">
        <f t="shared" si="78"/>
        <v>0</v>
      </c>
      <c r="W38" s="242">
        <f t="shared" si="79"/>
        <v>0</v>
      </c>
      <c r="X38" s="244"/>
      <c r="Y38" s="449">
        <f t="shared" si="80"/>
        <v>0</v>
      </c>
      <c r="Z38" s="245">
        <f t="shared" si="81"/>
        <v>0</v>
      </c>
      <c r="AA38" s="246">
        <f t="shared" si="82"/>
        <v>0</v>
      </c>
      <c r="AB38" s="450">
        <f t="shared" si="83"/>
        <v>0</v>
      </c>
      <c r="AC38" s="449">
        <f t="shared" si="84"/>
        <v>0</v>
      </c>
      <c r="AD38" s="451">
        <f t="shared" si="85"/>
        <v>0</v>
      </c>
      <c r="AE38" s="451">
        <f t="shared" si="86"/>
        <v>0</v>
      </c>
      <c r="AF38" s="449">
        <f t="shared" si="87"/>
        <v>0</v>
      </c>
      <c r="AG38" s="451">
        <f t="shared" si="88"/>
        <v>0</v>
      </c>
      <c r="AH38" s="250">
        <f t="shared" si="89"/>
        <v>0</v>
      </c>
      <c r="AI38" s="246">
        <f t="shared" si="90"/>
        <v>0</v>
      </c>
      <c r="AJ38" s="450">
        <f t="shared" si="91"/>
        <v>0</v>
      </c>
      <c r="AK38" s="449">
        <f t="shared" si="92"/>
        <v>0</v>
      </c>
      <c r="AL38" s="452">
        <f t="shared" si="93"/>
        <v>0</v>
      </c>
      <c r="AM38" s="452">
        <f t="shared" si="94"/>
        <v>0</v>
      </c>
      <c r="AN38" s="449">
        <f t="shared" si="95"/>
        <v>0</v>
      </c>
      <c r="AO38" s="451">
        <f t="shared" si="96"/>
        <v>0</v>
      </c>
      <c r="AP38" s="250">
        <f t="shared" si="97"/>
        <v>0</v>
      </c>
      <c r="AQ38" s="246">
        <f t="shared" si="98"/>
        <v>0</v>
      </c>
      <c r="AR38" s="450">
        <f t="shared" si="99"/>
        <v>0</v>
      </c>
      <c r="AS38" s="449">
        <f t="shared" si="100"/>
        <v>0</v>
      </c>
      <c r="AT38" s="452">
        <f t="shared" si="101"/>
        <v>0</v>
      </c>
      <c r="AU38" s="452">
        <f t="shared" si="102"/>
        <v>0</v>
      </c>
      <c r="AV38" s="449">
        <f t="shared" si="103"/>
        <v>0</v>
      </c>
      <c r="AW38" s="451">
        <f t="shared" si="104"/>
        <v>0</v>
      </c>
      <c r="AX38" s="248">
        <v>0</v>
      </c>
      <c r="AY38" s="246">
        <v>0</v>
      </c>
      <c r="AZ38" s="450">
        <v>0</v>
      </c>
      <c r="BA38" s="449">
        <v>0</v>
      </c>
      <c r="BB38" s="452">
        <f t="shared" si="105"/>
        <v>0</v>
      </c>
      <c r="BC38" s="449">
        <f t="shared" si="106"/>
        <v>0</v>
      </c>
      <c r="BD38" s="451">
        <f t="shared" si="107"/>
        <v>0</v>
      </c>
      <c r="BE38" s="248">
        <v>0</v>
      </c>
      <c r="BF38" s="246">
        <v>0</v>
      </c>
      <c r="BG38" s="450">
        <v>0</v>
      </c>
      <c r="BH38" s="449">
        <v>0</v>
      </c>
      <c r="BI38" s="452">
        <f t="shared" si="108"/>
        <v>0</v>
      </c>
      <c r="BJ38" s="449">
        <f t="shared" si="109"/>
        <v>0</v>
      </c>
      <c r="BK38" s="451">
        <f t="shared" si="110"/>
        <v>0</v>
      </c>
      <c r="BL38" s="248">
        <v>0</v>
      </c>
      <c r="BM38" s="246">
        <v>0</v>
      </c>
      <c r="BN38" s="450">
        <v>0</v>
      </c>
      <c r="BO38" s="449">
        <v>0</v>
      </c>
      <c r="BP38" s="452">
        <f t="shared" si="111"/>
        <v>0</v>
      </c>
      <c r="BQ38" s="452">
        <f t="shared" si="112"/>
        <v>0</v>
      </c>
      <c r="BR38" s="449">
        <f t="shared" si="113"/>
        <v>0</v>
      </c>
      <c r="BS38" s="451">
        <f t="shared" si="114"/>
        <v>0</v>
      </c>
      <c r="BT38" s="245">
        <f t="shared" si="115"/>
        <v>0</v>
      </c>
      <c r="BU38" s="246">
        <f t="shared" si="116"/>
        <v>0</v>
      </c>
      <c r="BV38" s="450">
        <f t="shared" si="117"/>
        <v>0</v>
      </c>
      <c r="BW38" s="449">
        <f t="shared" si="118"/>
        <v>0</v>
      </c>
      <c r="BX38" s="452">
        <f t="shared" si="119"/>
        <v>0</v>
      </c>
      <c r="BY38" s="449">
        <f t="shared" si="120"/>
        <v>0</v>
      </c>
      <c r="BZ38" s="451">
        <f t="shared" si="121"/>
        <v>0</v>
      </c>
      <c r="CA38" s="242">
        <f t="shared" si="122"/>
        <v>0</v>
      </c>
      <c r="CB38" s="453">
        <f t="shared" si="123"/>
        <v>0</v>
      </c>
      <c r="CC38" s="45">
        <f t="shared" si="50"/>
        <v>0</v>
      </c>
    </row>
    <row r="39" spans="1:155" ht="15" customHeight="1">
      <c r="B39" s="238" t="s">
        <v>224</v>
      </c>
      <c r="C39" s="239"/>
      <c r="D39" s="239"/>
      <c r="E39" s="240"/>
      <c r="F39" s="241">
        <f t="shared" si="74"/>
        <v>0</v>
      </c>
      <c r="G39" s="239"/>
      <c r="H39" s="239"/>
      <c r="I39" s="239"/>
      <c r="J39" s="239"/>
      <c r="K39" s="239"/>
      <c r="L39" s="239"/>
      <c r="M39" s="239"/>
      <c r="N39" s="239"/>
      <c r="O39" s="239"/>
      <c r="P39" s="239"/>
      <c r="Q39" s="239"/>
      <c r="R39" s="239"/>
      <c r="S39" s="242">
        <f t="shared" si="75"/>
        <v>0</v>
      </c>
      <c r="T39" s="243">
        <f t="shared" si="76"/>
        <v>0</v>
      </c>
      <c r="U39" s="242">
        <f t="shared" si="77"/>
        <v>0</v>
      </c>
      <c r="V39" s="242">
        <f t="shared" si="78"/>
        <v>0</v>
      </c>
      <c r="W39" s="242">
        <f t="shared" si="79"/>
        <v>0</v>
      </c>
      <c r="X39" s="244"/>
      <c r="Y39" s="449">
        <f t="shared" si="80"/>
        <v>0</v>
      </c>
      <c r="Z39" s="245">
        <f t="shared" si="81"/>
        <v>0</v>
      </c>
      <c r="AA39" s="246">
        <f t="shared" si="82"/>
        <v>0</v>
      </c>
      <c r="AB39" s="450">
        <f t="shared" si="83"/>
        <v>0</v>
      </c>
      <c r="AC39" s="449">
        <f t="shared" si="84"/>
        <v>0</v>
      </c>
      <c r="AD39" s="454">
        <f t="shared" si="85"/>
        <v>0</v>
      </c>
      <c r="AE39" s="451">
        <f t="shared" si="86"/>
        <v>0</v>
      </c>
      <c r="AF39" s="449">
        <f t="shared" si="87"/>
        <v>0</v>
      </c>
      <c r="AG39" s="451">
        <f t="shared" si="88"/>
        <v>0</v>
      </c>
      <c r="AH39" s="282">
        <f t="shared" si="89"/>
        <v>0</v>
      </c>
      <c r="AI39" s="246">
        <f t="shared" si="90"/>
        <v>0</v>
      </c>
      <c r="AJ39" s="450">
        <f t="shared" si="91"/>
        <v>0</v>
      </c>
      <c r="AK39" s="449">
        <f t="shared" si="92"/>
        <v>0</v>
      </c>
      <c r="AL39" s="471">
        <f t="shared" si="93"/>
        <v>0</v>
      </c>
      <c r="AM39" s="452">
        <f t="shared" si="94"/>
        <v>0</v>
      </c>
      <c r="AN39" s="449">
        <f t="shared" si="95"/>
        <v>0</v>
      </c>
      <c r="AO39" s="451">
        <f t="shared" si="96"/>
        <v>0</v>
      </c>
      <c r="AP39" s="247">
        <f t="shared" si="97"/>
        <v>0</v>
      </c>
      <c r="AQ39" s="246">
        <f t="shared" si="98"/>
        <v>0</v>
      </c>
      <c r="AR39" s="450">
        <f t="shared" si="99"/>
        <v>0</v>
      </c>
      <c r="AS39" s="449">
        <f t="shared" si="100"/>
        <v>0</v>
      </c>
      <c r="AT39" s="472">
        <f t="shared" si="101"/>
        <v>0</v>
      </c>
      <c r="AU39" s="452">
        <f t="shared" si="102"/>
        <v>0</v>
      </c>
      <c r="AV39" s="449">
        <f t="shared" si="103"/>
        <v>0</v>
      </c>
      <c r="AW39" s="451">
        <f t="shared" si="104"/>
        <v>0</v>
      </c>
      <c r="AX39" s="248">
        <v>0</v>
      </c>
      <c r="AY39" s="246">
        <v>0</v>
      </c>
      <c r="AZ39" s="450">
        <v>0</v>
      </c>
      <c r="BA39" s="449">
        <v>0</v>
      </c>
      <c r="BB39" s="452">
        <f t="shared" si="105"/>
        <v>0</v>
      </c>
      <c r="BC39" s="449">
        <f t="shared" si="106"/>
        <v>0</v>
      </c>
      <c r="BD39" s="451">
        <f t="shared" si="107"/>
        <v>0</v>
      </c>
      <c r="BE39" s="248">
        <v>0</v>
      </c>
      <c r="BF39" s="246">
        <v>0</v>
      </c>
      <c r="BG39" s="450">
        <v>0</v>
      </c>
      <c r="BH39" s="449">
        <v>0</v>
      </c>
      <c r="BI39" s="452">
        <f t="shared" si="108"/>
        <v>0</v>
      </c>
      <c r="BJ39" s="449">
        <f t="shared" si="109"/>
        <v>0</v>
      </c>
      <c r="BK39" s="451">
        <f t="shared" si="110"/>
        <v>0</v>
      </c>
      <c r="BL39" s="248">
        <v>0</v>
      </c>
      <c r="BM39" s="246">
        <v>0</v>
      </c>
      <c r="BN39" s="450">
        <v>0</v>
      </c>
      <c r="BO39" s="449">
        <v>0</v>
      </c>
      <c r="BP39" s="452">
        <f t="shared" si="111"/>
        <v>0</v>
      </c>
      <c r="BQ39" s="452">
        <f t="shared" si="112"/>
        <v>0</v>
      </c>
      <c r="BR39" s="449">
        <f t="shared" si="113"/>
        <v>0</v>
      </c>
      <c r="BS39" s="451">
        <f t="shared" si="114"/>
        <v>0</v>
      </c>
      <c r="BT39" s="245">
        <f t="shared" si="115"/>
        <v>0</v>
      </c>
      <c r="BU39" s="246">
        <f t="shared" si="116"/>
        <v>0</v>
      </c>
      <c r="BV39" s="450">
        <f t="shared" si="117"/>
        <v>0</v>
      </c>
      <c r="BW39" s="449">
        <f t="shared" si="118"/>
        <v>0</v>
      </c>
      <c r="BX39" s="452">
        <f t="shared" si="119"/>
        <v>0</v>
      </c>
      <c r="BY39" s="449">
        <f t="shared" si="120"/>
        <v>0</v>
      </c>
      <c r="BZ39" s="451">
        <f t="shared" si="121"/>
        <v>0</v>
      </c>
      <c r="CA39" s="242">
        <f t="shared" si="122"/>
        <v>0</v>
      </c>
      <c r="CB39" s="453">
        <f t="shared" si="123"/>
        <v>0</v>
      </c>
      <c r="CC39" s="45">
        <f t="shared" si="50"/>
        <v>0</v>
      </c>
    </row>
    <row r="40" spans="1:155">
      <c r="B40" s="249" t="s">
        <v>239</v>
      </c>
      <c r="C40" s="239"/>
      <c r="D40" s="239"/>
      <c r="E40" s="240"/>
      <c r="F40" s="241">
        <f t="shared" si="74"/>
        <v>0</v>
      </c>
      <c r="G40" s="239"/>
      <c r="H40" s="239"/>
      <c r="I40" s="239"/>
      <c r="J40" s="239"/>
      <c r="K40" s="239"/>
      <c r="L40" s="239"/>
      <c r="M40" s="239"/>
      <c r="N40" s="239"/>
      <c r="O40" s="239"/>
      <c r="P40" s="239"/>
      <c r="Q40" s="239"/>
      <c r="R40" s="239"/>
      <c r="S40" s="242">
        <f t="shared" si="75"/>
        <v>0</v>
      </c>
      <c r="T40" s="243">
        <f t="shared" si="76"/>
        <v>0</v>
      </c>
      <c r="U40" s="242">
        <f t="shared" si="77"/>
        <v>0</v>
      </c>
      <c r="V40" s="242">
        <f t="shared" si="78"/>
        <v>0</v>
      </c>
      <c r="W40" s="242">
        <f t="shared" si="79"/>
        <v>0</v>
      </c>
      <c r="X40" s="244"/>
      <c r="Y40" s="449">
        <f t="shared" si="80"/>
        <v>0</v>
      </c>
      <c r="Z40" s="245">
        <f t="shared" si="81"/>
        <v>0</v>
      </c>
      <c r="AA40" s="246">
        <f t="shared" si="82"/>
        <v>0</v>
      </c>
      <c r="AB40" s="450">
        <f t="shared" si="83"/>
        <v>0</v>
      </c>
      <c r="AC40" s="449">
        <f t="shared" si="84"/>
        <v>0</v>
      </c>
      <c r="AD40" s="454">
        <f t="shared" si="85"/>
        <v>0</v>
      </c>
      <c r="AE40" s="452">
        <f t="shared" si="86"/>
        <v>0</v>
      </c>
      <c r="AF40" s="449">
        <f t="shared" si="87"/>
        <v>0</v>
      </c>
      <c r="AG40" s="451">
        <f t="shared" si="88"/>
        <v>0</v>
      </c>
      <c r="AH40" s="247">
        <f t="shared" si="89"/>
        <v>0</v>
      </c>
      <c r="AI40" s="246">
        <f t="shared" si="90"/>
        <v>0</v>
      </c>
      <c r="AJ40" s="450">
        <f t="shared" si="91"/>
        <v>0</v>
      </c>
      <c r="AK40" s="449">
        <f t="shared" si="92"/>
        <v>0</v>
      </c>
      <c r="AL40" s="452">
        <f t="shared" si="93"/>
        <v>0</v>
      </c>
      <c r="AM40" s="452">
        <f t="shared" si="94"/>
        <v>0</v>
      </c>
      <c r="AN40" s="449">
        <f t="shared" si="95"/>
        <v>0</v>
      </c>
      <c r="AO40" s="451">
        <f t="shared" si="96"/>
        <v>0</v>
      </c>
      <c r="AP40" s="282">
        <f t="shared" si="97"/>
        <v>0</v>
      </c>
      <c r="AQ40" s="246">
        <f t="shared" si="98"/>
        <v>0</v>
      </c>
      <c r="AR40" s="450">
        <f t="shared" si="99"/>
        <v>0</v>
      </c>
      <c r="AS40" s="449">
        <f t="shared" si="100"/>
        <v>0</v>
      </c>
      <c r="AT40" s="452">
        <f t="shared" si="101"/>
        <v>0</v>
      </c>
      <c r="AU40" s="452">
        <f t="shared" si="102"/>
        <v>0</v>
      </c>
      <c r="AV40" s="449">
        <f t="shared" si="103"/>
        <v>0</v>
      </c>
      <c r="AW40" s="451">
        <f t="shared" si="104"/>
        <v>0</v>
      </c>
      <c r="AX40" s="248">
        <v>0</v>
      </c>
      <c r="AY40" s="246">
        <v>0</v>
      </c>
      <c r="AZ40" s="450">
        <v>0</v>
      </c>
      <c r="BA40" s="449">
        <v>0</v>
      </c>
      <c r="BB40" s="452">
        <f t="shared" si="105"/>
        <v>0</v>
      </c>
      <c r="BC40" s="449">
        <f t="shared" si="106"/>
        <v>0</v>
      </c>
      <c r="BD40" s="451">
        <f t="shared" si="107"/>
        <v>0</v>
      </c>
      <c r="BE40" s="248">
        <v>0</v>
      </c>
      <c r="BF40" s="246">
        <v>0</v>
      </c>
      <c r="BG40" s="450">
        <v>0</v>
      </c>
      <c r="BH40" s="449">
        <v>0</v>
      </c>
      <c r="BI40" s="452">
        <f t="shared" si="108"/>
        <v>0</v>
      </c>
      <c r="BJ40" s="449">
        <f t="shared" si="109"/>
        <v>0</v>
      </c>
      <c r="BK40" s="451">
        <f t="shared" si="110"/>
        <v>0</v>
      </c>
      <c r="BL40" s="248">
        <v>0</v>
      </c>
      <c r="BM40" s="246">
        <v>0</v>
      </c>
      <c r="BN40" s="450">
        <v>0</v>
      </c>
      <c r="BO40" s="449">
        <v>0</v>
      </c>
      <c r="BP40" s="452">
        <f t="shared" si="111"/>
        <v>0</v>
      </c>
      <c r="BQ40" s="452">
        <f t="shared" si="112"/>
        <v>0</v>
      </c>
      <c r="BR40" s="449">
        <f t="shared" si="113"/>
        <v>0</v>
      </c>
      <c r="BS40" s="451">
        <f t="shared" si="114"/>
        <v>0</v>
      </c>
      <c r="BT40" s="245">
        <f t="shared" si="115"/>
        <v>0</v>
      </c>
      <c r="BU40" s="246">
        <f t="shared" si="116"/>
        <v>0</v>
      </c>
      <c r="BV40" s="450">
        <f t="shared" si="117"/>
        <v>0</v>
      </c>
      <c r="BW40" s="449">
        <f t="shared" si="118"/>
        <v>0</v>
      </c>
      <c r="BX40" s="452">
        <f t="shared" si="119"/>
        <v>0</v>
      </c>
      <c r="BY40" s="449">
        <f t="shared" si="120"/>
        <v>0</v>
      </c>
      <c r="BZ40" s="451">
        <f t="shared" si="121"/>
        <v>0</v>
      </c>
      <c r="CA40" s="242">
        <f t="shared" si="122"/>
        <v>0</v>
      </c>
      <c r="CB40" s="453">
        <f t="shared" si="123"/>
        <v>0</v>
      </c>
      <c r="CC40" s="45">
        <f t="shared" si="50"/>
        <v>0</v>
      </c>
    </row>
    <row r="41" spans="1:155">
      <c r="B41" s="249"/>
      <c r="C41" s="239"/>
      <c r="D41" s="239"/>
      <c r="E41" s="240"/>
      <c r="F41" s="241">
        <f t="shared" si="74"/>
        <v>0</v>
      </c>
      <c r="G41" s="239"/>
      <c r="H41" s="239"/>
      <c r="I41" s="239"/>
      <c r="J41" s="239"/>
      <c r="K41" s="239"/>
      <c r="L41" s="239"/>
      <c r="M41" s="239"/>
      <c r="N41" s="239"/>
      <c r="O41" s="239"/>
      <c r="P41" s="239"/>
      <c r="Q41" s="239"/>
      <c r="R41" s="239"/>
      <c r="S41" s="242">
        <f t="shared" si="75"/>
        <v>0</v>
      </c>
      <c r="T41" s="243">
        <f t="shared" si="76"/>
        <v>0</v>
      </c>
      <c r="U41" s="242">
        <f t="shared" si="77"/>
        <v>0</v>
      </c>
      <c r="V41" s="242">
        <f t="shared" si="78"/>
        <v>0</v>
      </c>
      <c r="W41" s="242">
        <f t="shared" si="79"/>
        <v>0</v>
      </c>
      <c r="X41" s="244"/>
      <c r="Y41" s="449">
        <f t="shared" si="80"/>
        <v>0</v>
      </c>
      <c r="Z41" s="245">
        <f t="shared" si="81"/>
        <v>0</v>
      </c>
      <c r="AA41" s="246">
        <f t="shared" si="82"/>
        <v>0</v>
      </c>
      <c r="AB41" s="450">
        <f t="shared" si="83"/>
        <v>0</v>
      </c>
      <c r="AC41" s="449">
        <f t="shared" si="84"/>
        <v>0</v>
      </c>
      <c r="AD41" s="451">
        <f t="shared" si="85"/>
        <v>0</v>
      </c>
      <c r="AE41" s="451">
        <f t="shared" si="86"/>
        <v>0</v>
      </c>
      <c r="AF41" s="449">
        <f t="shared" si="87"/>
        <v>0</v>
      </c>
      <c r="AG41" s="451">
        <f t="shared" si="88"/>
        <v>0</v>
      </c>
      <c r="AH41" s="250">
        <f t="shared" si="89"/>
        <v>0</v>
      </c>
      <c r="AI41" s="246">
        <f t="shared" si="90"/>
        <v>0</v>
      </c>
      <c r="AJ41" s="450">
        <f t="shared" si="91"/>
        <v>0</v>
      </c>
      <c r="AK41" s="449">
        <f t="shared" si="92"/>
        <v>0</v>
      </c>
      <c r="AL41" s="452">
        <f t="shared" si="93"/>
        <v>0</v>
      </c>
      <c r="AM41" s="452">
        <f t="shared" si="94"/>
        <v>0</v>
      </c>
      <c r="AN41" s="449">
        <f t="shared" si="95"/>
        <v>0</v>
      </c>
      <c r="AO41" s="451">
        <f t="shared" si="96"/>
        <v>0</v>
      </c>
      <c r="AP41" s="250">
        <f t="shared" si="97"/>
        <v>0</v>
      </c>
      <c r="AQ41" s="246">
        <f t="shared" si="98"/>
        <v>0</v>
      </c>
      <c r="AR41" s="450">
        <f t="shared" si="99"/>
        <v>0</v>
      </c>
      <c r="AS41" s="449">
        <f t="shared" si="100"/>
        <v>0</v>
      </c>
      <c r="AT41" s="452">
        <f t="shared" si="101"/>
        <v>0</v>
      </c>
      <c r="AU41" s="452">
        <f t="shared" si="102"/>
        <v>0</v>
      </c>
      <c r="AV41" s="449">
        <f t="shared" si="103"/>
        <v>0</v>
      </c>
      <c r="AW41" s="451">
        <f t="shared" si="104"/>
        <v>0</v>
      </c>
      <c r="AX41" s="248">
        <v>0</v>
      </c>
      <c r="AY41" s="246">
        <v>0</v>
      </c>
      <c r="AZ41" s="450">
        <v>0</v>
      </c>
      <c r="BA41" s="449">
        <v>0</v>
      </c>
      <c r="BB41" s="452">
        <f t="shared" si="105"/>
        <v>0</v>
      </c>
      <c r="BC41" s="449">
        <f t="shared" si="106"/>
        <v>0</v>
      </c>
      <c r="BD41" s="451">
        <f t="shared" si="107"/>
        <v>0</v>
      </c>
      <c r="BE41" s="248">
        <v>0</v>
      </c>
      <c r="BF41" s="246">
        <v>0</v>
      </c>
      <c r="BG41" s="450">
        <v>0</v>
      </c>
      <c r="BH41" s="449">
        <v>0</v>
      </c>
      <c r="BI41" s="452">
        <f t="shared" si="108"/>
        <v>0</v>
      </c>
      <c r="BJ41" s="449">
        <f t="shared" si="109"/>
        <v>0</v>
      </c>
      <c r="BK41" s="451">
        <f t="shared" ref="BK41:BK45" si="124">(BI41*BJ41)^2</f>
        <v>0</v>
      </c>
      <c r="BL41" s="248">
        <v>0</v>
      </c>
      <c r="BM41" s="246">
        <v>0</v>
      </c>
      <c r="BN41" s="450">
        <v>0</v>
      </c>
      <c r="BO41" s="449">
        <v>0</v>
      </c>
      <c r="BP41" s="452">
        <f t="shared" si="111"/>
        <v>0</v>
      </c>
      <c r="BQ41" s="452">
        <f t="shared" si="112"/>
        <v>0</v>
      </c>
      <c r="BR41" s="449">
        <f t="shared" si="113"/>
        <v>0</v>
      </c>
      <c r="BS41" s="451">
        <f t="shared" si="114"/>
        <v>0</v>
      </c>
      <c r="BT41" s="245">
        <f t="shared" si="115"/>
        <v>0</v>
      </c>
      <c r="BU41" s="246">
        <f t="shared" si="116"/>
        <v>0</v>
      </c>
      <c r="BV41" s="450">
        <f t="shared" si="117"/>
        <v>0</v>
      </c>
      <c r="BW41" s="449">
        <f t="shared" si="118"/>
        <v>0</v>
      </c>
      <c r="BX41" s="452">
        <f t="shared" si="119"/>
        <v>0</v>
      </c>
      <c r="BY41" s="449">
        <f t="shared" si="120"/>
        <v>0</v>
      </c>
      <c r="BZ41" s="451">
        <f t="shared" si="121"/>
        <v>0</v>
      </c>
      <c r="CA41" s="242">
        <f t="shared" si="122"/>
        <v>0</v>
      </c>
      <c r="CB41" s="453">
        <f t="shared" si="123"/>
        <v>0</v>
      </c>
      <c r="CC41" s="45">
        <f t="shared" si="50"/>
        <v>0</v>
      </c>
    </row>
    <row r="42" spans="1:155">
      <c r="B42" s="251"/>
      <c r="C42" s="239"/>
      <c r="D42" s="239"/>
      <c r="E42" s="240"/>
      <c r="F42" s="241">
        <f t="shared" si="74"/>
        <v>0</v>
      </c>
      <c r="G42" s="239"/>
      <c r="H42" s="239"/>
      <c r="I42" s="239"/>
      <c r="J42" s="239"/>
      <c r="K42" s="239"/>
      <c r="L42" s="239"/>
      <c r="M42" s="239"/>
      <c r="N42" s="239"/>
      <c r="O42" s="239"/>
      <c r="P42" s="239"/>
      <c r="Q42" s="239"/>
      <c r="R42" s="239"/>
      <c r="S42" s="242">
        <f t="shared" si="75"/>
        <v>0</v>
      </c>
      <c r="T42" s="243">
        <f t="shared" si="76"/>
        <v>0</v>
      </c>
      <c r="U42" s="242">
        <f t="shared" si="77"/>
        <v>0</v>
      </c>
      <c r="V42" s="242">
        <f t="shared" si="78"/>
        <v>0</v>
      </c>
      <c r="W42" s="242">
        <f t="shared" si="79"/>
        <v>0</v>
      </c>
      <c r="X42" s="244"/>
      <c r="Y42" s="449">
        <f t="shared" si="80"/>
        <v>0</v>
      </c>
      <c r="Z42" s="245">
        <f t="shared" si="81"/>
        <v>0</v>
      </c>
      <c r="AA42" s="246">
        <f t="shared" si="82"/>
        <v>0</v>
      </c>
      <c r="AB42" s="450">
        <f t="shared" si="83"/>
        <v>0</v>
      </c>
      <c r="AC42" s="449">
        <f t="shared" si="84"/>
        <v>0</v>
      </c>
      <c r="AD42" s="451">
        <f t="shared" si="85"/>
        <v>0</v>
      </c>
      <c r="AE42" s="451">
        <f t="shared" si="86"/>
        <v>0</v>
      </c>
      <c r="AF42" s="449">
        <f t="shared" si="87"/>
        <v>0</v>
      </c>
      <c r="AG42" s="451">
        <f t="shared" si="88"/>
        <v>0</v>
      </c>
      <c r="AH42" s="250">
        <f t="shared" si="89"/>
        <v>0</v>
      </c>
      <c r="AI42" s="246">
        <f t="shared" si="90"/>
        <v>0</v>
      </c>
      <c r="AJ42" s="450">
        <f t="shared" si="91"/>
        <v>0</v>
      </c>
      <c r="AK42" s="449">
        <f t="shared" si="92"/>
        <v>0</v>
      </c>
      <c r="AL42" s="452">
        <f t="shared" si="93"/>
        <v>0</v>
      </c>
      <c r="AM42" s="452">
        <f t="shared" si="94"/>
        <v>0</v>
      </c>
      <c r="AN42" s="449">
        <f t="shared" si="95"/>
        <v>0</v>
      </c>
      <c r="AO42" s="451">
        <f t="shared" si="96"/>
        <v>0</v>
      </c>
      <c r="AP42" s="250">
        <f t="shared" si="97"/>
        <v>0</v>
      </c>
      <c r="AQ42" s="246">
        <f t="shared" si="98"/>
        <v>0</v>
      </c>
      <c r="AR42" s="450">
        <f t="shared" si="99"/>
        <v>0</v>
      </c>
      <c r="AS42" s="449">
        <f t="shared" si="100"/>
        <v>0</v>
      </c>
      <c r="AT42" s="452">
        <f t="shared" si="101"/>
        <v>0</v>
      </c>
      <c r="AU42" s="452">
        <f t="shared" si="102"/>
        <v>0</v>
      </c>
      <c r="AV42" s="449">
        <f t="shared" si="103"/>
        <v>0</v>
      </c>
      <c r="AW42" s="451">
        <f t="shared" si="104"/>
        <v>0</v>
      </c>
      <c r="AX42" s="248">
        <v>0</v>
      </c>
      <c r="AY42" s="246">
        <v>0</v>
      </c>
      <c r="AZ42" s="450">
        <v>0</v>
      </c>
      <c r="BA42" s="449">
        <v>0</v>
      </c>
      <c r="BB42" s="452">
        <f t="shared" si="105"/>
        <v>0</v>
      </c>
      <c r="BC42" s="449">
        <f t="shared" si="106"/>
        <v>0</v>
      </c>
      <c r="BD42" s="451">
        <f t="shared" si="107"/>
        <v>0</v>
      </c>
      <c r="BE42" s="248">
        <v>0</v>
      </c>
      <c r="BF42" s="246">
        <v>0</v>
      </c>
      <c r="BG42" s="450">
        <v>0</v>
      </c>
      <c r="BH42" s="449">
        <v>0</v>
      </c>
      <c r="BI42" s="452">
        <f t="shared" si="108"/>
        <v>0</v>
      </c>
      <c r="BJ42" s="449">
        <f t="shared" si="109"/>
        <v>0</v>
      </c>
      <c r="BK42" s="451">
        <f t="shared" si="124"/>
        <v>0</v>
      </c>
      <c r="BL42" s="248">
        <v>0</v>
      </c>
      <c r="BM42" s="246">
        <v>0</v>
      </c>
      <c r="BN42" s="450">
        <v>0</v>
      </c>
      <c r="BO42" s="449">
        <v>0</v>
      </c>
      <c r="BP42" s="452">
        <f t="shared" si="111"/>
        <v>0</v>
      </c>
      <c r="BQ42" s="452">
        <f t="shared" si="112"/>
        <v>0</v>
      </c>
      <c r="BR42" s="449">
        <f t="shared" si="113"/>
        <v>0</v>
      </c>
      <c r="BS42" s="451">
        <f t="shared" si="114"/>
        <v>0</v>
      </c>
      <c r="BT42" s="245">
        <f t="shared" si="115"/>
        <v>0</v>
      </c>
      <c r="BU42" s="246">
        <f t="shared" si="116"/>
        <v>0</v>
      </c>
      <c r="BV42" s="450">
        <f t="shared" si="117"/>
        <v>0</v>
      </c>
      <c r="BW42" s="449">
        <f t="shared" si="118"/>
        <v>0</v>
      </c>
      <c r="BX42" s="452">
        <f t="shared" si="119"/>
        <v>0</v>
      </c>
      <c r="BY42" s="449">
        <f t="shared" si="120"/>
        <v>0</v>
      </c>
      <c r="BZ42" s="451">
        <f t="shared" si="121"/>
        <v>0</v>
      </c>
      <c r="CA42" s="242">
        <f t="shared" si="122"/>
        <v>0</v>
      </c>
      <c r="CB42" s="453">
        <f t="shared" si="123"/>
        <v>0</v>
      </c>
      <c r="CC42" s="45">
        <f t="shared" si="50"/>
        <v>0</v>
      </c>
    </row>
    <row r="43" spans="1:155">
      <c r="B43" s="238" t="s">
        <v>226</v>
      </c>
      <c r="C43" s="239"/>
      <c r="D43" s="239"/>
      <c r="E43" s="240"/>
      <c r="F43" s="241">
        <f t="shared" si="74"/>
        <v>0</v>
      </c>
      <c r="G43" s="239"/>
      <c r="H43" s="239"/>
      <c r="I43" s="239"/>
      <c r="J43" s="239"/>
      <c r="K43" s="239"/>
      <c r="L43" s="239"/>
      <c r="M43" s="239"/>
      <c r="N43" s="239"/>
      <c r="O43" s="239"/>
      <c r="P43" s="239"/>
      <c r="Q43" s="239"/>
      <c r="R43" s="239"/>
      <c r="S43" s="242">
        <f t="shared" si="75"/>
        <v>0</v>
      </c>
      <c r="T43" s="243">
        <f t="shared" si="76"/>
        <v>0</v>
      </c>
      <c r="U43" s="242">
        <f t="shared" si="77"/>
        <v>0</v>
      </c>
      <c r="V43" s="242">
        <f t="shared" si="78"/>
        <v>0</v>
      </c>
      <c r="W43" s="242">
        <f t="shared" si="79"/>
        <v>0</v>
      </c>
      <c r="X43" s="244"/>
      <c r="Y43" s="449">
        <f t="shared" si="80"/>
        <v>0</v>
      </c>
      <c r="Z43" s="245">
        <f t="shared" si="81"/>
        <v>0</v>
      </c>
      <c r="AA43" s="246">
        <f t="shared" si="82"/>
        <v>0</v>
      </c>
      <c r="AB43" s="450">
        <f t="shared" si="83"/>
        <v>0</v>
      </c>
      <c r="AC43" s="449">
        <f t="shared" si="84"/>
        <v>0</v>
      </c>
      <c r="AD43" s="451">
        <f t="shared" si="85"/>
        <v>0</v>
      </c>
      <c r="AE43" s="454">
        <f t="shared" si="86"/>
        <v>0</v>
      </c>
      <c r="AF43" s="449">
        <f t="shared" si="87"/>
        <v>0</v>
      </c>
      <c r="AG43" s="451">
        <f t="shared" si="88"/>
        <v>0</v>
      </c>
      <c r="AH43" s="282">
        <f t="shared" si="89"/>
        <v>0</v>
      </c>
      <c r="AI43" s="246">
        <f t="shared" si="90"/>
        <v>0</v>
      </c>
      <c r="AJ43" s="450">
        <f t="shared" si="91"/>
        <v>0</v>
      </c>
      <c r="AK43" s="449">
        <f t="shared" si="92"/>
        <v>0</v>
      </c>
      <c r="AL43" s="471">
        <f t="shared" si="93"/>
        <v>0</v>
      </c>
      <c r="AM43" s="452">
        <f t="shared" si="94"/>
        <v>0</v>
      </c>
      <c r="AN43" s="449">
        <f t="shared" si="95"/>
        <v>0</v>
      </c>
      <c r="AO43" s="451">
        <f t="shared" si="96"/>
        <v>0</v>
      </c>
      <c r="AP43" s="250">
        <f t="shared" si="97"/>
        <v>0</v>
      </c>
      <c r="AQ43" s="246">
        <f t="shared" si="98"/>
        <v>0</v>
      </c>
      <c r="AR43" s="450">
        <f t="shared" si="99"/>
        <v>0</v>
      </c>
      <c r="AS43" s="449">
        <f t="shared" si="100"/>
        <v>0</v>
      </c>
      <c r="AT43" s="452">
        <f t="shared" si="101"/>
        <v>0</v>
      </c>
      <c r="AU43" s="452">
        <f t="shared" si="102"/>
        <v>0</v>
      </c>
      <c r="AV43" s="449">
        <f t="shared" si="103"/>
        <v>0</v>
      </c>
      <c r="AW43" s="451">
        <f t="shared" si="104"/>
        <v>0</v>
      </c>
      <c r="AX43" s="248">
        <v>0</v>
      </c>
      <c r="AY43" s="246">
        <v>0</v>
      </c>
      <c r="AZ43" s="450">
        <v>0</v>
      </c>
      <c r="BA43" s="449">
        <v>0</v>
      </c>
      <c r="BB43" s="452">
        <f t="shared" si="105"/>
        <v>0</v>
      </c>
      <c r="BC43" s="449">
        <f t="shared" si="106"/>
        <v>0</v>
      </c>
      <c r="BD43" s="451">
        <f t="shared" si="107"/>
        <v>0</v>
      </c>
      <c r="BE43" s="248">
        <v>0</v>
      </c>
      <c r="BF43" s="246">
        <v>0</v>
      </c>
      <c r="BG43" s="450">
        <v>0</v>
      </c>
      <c r="BH43" s="449">
        <v>0</v>
      </c>
      <c r="BI43" s="452">
        <f t="shared" si="108"/>
        <v>0</v>
      </c>
      <c r="BJ43" s="449">
        <f t="shared" si="109"/>
        <v>0</v>
      </c>
      <c r="BK43" s="451">
        <f t="shared" si="124"/>
        <v>0</v>
      </c>
      <c r="BL43" s="248">
        <v>0</v>
      </c>
      <c r="BM43" s="246">
        <v>0</v>
      </c>
      <c r="BN43" s="450">
        <v>0</v>
      </c>
      <c r="BO43" s="449">
        <v>0</v>
      </c>
      <c r="BP43" s="452">
        <f t="shared" si="111"/>
        <v>0</v>
      </c>
      <c r="BQ43" s="452">
        <f t="shared" si="112"/>
        <v>0</v>
      </c>
      <c r="BR43" s="449">
        <f t="shared" si="113"/>
        <v>0</v>
      </c>
      <c r="BS43" s="451">
        <f t="shared" si="114"/>
        <v>0</v>
      </c>
      <c r="BT43" s="245">
        <f t="shared" si="115"/>
        <v>0</v>
      </c>
      <c r="BU43" s="246">
        <f t="shared" si="116"/>
        <v>0</v>
      </c>
      <c r="BV43" s="450">
        <f t="shared" si="117"/>
        <v>0</v>
      </c>
      <c r="BW43" s="449">
        <f t="shared" si="118"/>
        <v>0</v>
      </c>
      <c r="BX43" s="452">
        <f t="shared" si="119"/>
        <v>0</v>
      </c>
      <c r="BY43" s="449">
        <f t="shared" si="120"/>
        <v>0</v>
      </c>
      <c r="BZ43" s="451">
        <f t="shared" si="121"/>
        <v>0</v>
      </c>
      <c r="CA43" s="242">
        <f t="shared" si="122"/>
        <v>0</v>
      </c>
      <c r="CB43" s="453">
        <f t="shared" si="123"/>
        <v>0</v>
      </c>
      <c r="CC43" s="45">
        <f t="shared" si="50"/>
        <v>0</v>
      </c>
    </row>
    <row r="44" spans="1:155">
      <c r="B44" s="249" t="s">
        <v>239</v>
      </c>
      <c r="C44" s="239"/>
      <c r="D44" s="239"/>
      <c r="E44" s="252"/>
      <c r="F44" s="241">
        <f t="shared" si="74"/>
        <v>0</v>
      </c>
      <c r="G44" s="239"/>
      <c r="H44" s="239"/>
      <c r="I44" s="239"/>
      <c r="J44" s="239"/>
      <c r="K44" s="239"/>
      <c r="L44" s="239"/>
      <c r="M44" s="239"/>
      <c r="N44" s="239"/>
      <c r="O44" s="239"/>
      <c r="P44" s="239"/>
      <c r="Q44" s="239"/>
      <c r="R44" s="239"/>
      <c r="S44" s="242">
        <f t="shared" si="75"/>
        <v>0</v>
      </c>
      <c r="T44" s="243">
        <f t="shared" si="76"/>
        <v>0</v>
      </c>
      <c r="U44" s="242">
        <f t="shared" si="77"/>
        <v>0</v>
      </c>
      <c r="V44" s="242">
        <f t="shared" si="78"/>
        <v>0</v>
      </c>
      <c r="W44" s="242">
        <f t="shared" si="79"/>
        <v>0</v>
      </c>
      <c r="X44" s="244"/>
      <c r="Y44" s="449">
        <f t="shared" si="80"/>
        <v>0</v>
      </c>
      <c r="Z44" s="245">
        <f t="shared" si="81"/>
        <v>0</v>
      </c>
      <c r="AA44" s="246">
        <f t="shared" si="82"/>
        <v>0</v>
      </c>
      <c r="AB44" s="450">
        <f t="shared" si="83"/>
        <v>0</v>
      </c>
      <c r="AC44" s="449">
        <f t="shared" si="84"/>
        <v>0</v>
      </c>
      <c r="AD44" s="451">
        <f t="shared" si="85"/>
        <v>0</v>
      </c>
      <c r="AE44" s="454">
        <f t="shared" si="86"/>
        <v>0</v>
      </c>
      <c r="AF44" s="449">
        <f t="shared" si="87"/>
        <v>0</v>
      </c>
      <c r="AG44" s="451">
        <f t="shared" si="88"/>
        <v>0</v>
      </c>
      <c r="AH44" s="250">
        <f t="shared" si="89"/>
        <v>0</v>
      </c>
      <c r="AI44" s="246">
        <f t="shared" si="90"/>
        <v>0</v>
      </c>
      <c r="AJ44" s="450">
        <f t="shared" si="91"/>
        <v>0</v>
      </c>
      <c r="AK44" s="449">
        <f t="shared" si="92"/>
        <v>0</v>
      </c>
      <c r="AL44" s="452">
        <f t="shared" si="93"/>
        <v>0</v>
      </c>
      <c r="AM44" s="452">
        <f t="shared" si="94"/>
        <v>0</v>
      </c>
      <c r="AN44" s="449">
        <f t="shared" si="95"/>
        <v>0</v>
      </c>
      <c r="AO44" s="451">
        <f t="shared" si="96"/>
        <v>0</v>
      </c>
      <c r="AP44" s="247">
        <f t="shared" si="97"/>
        <v>0</v>
      </c>
      <c r="AQ44" s="246">
        <f t="shared" si="98"/>
        <v>0</v>
      </c>
      <c r="AR44" s="450">
        <f t="shared" si="99"/>
        <v>0</v>
      </c>
      <c r="AS44" s="449">
        <f t="shared" si="100"/>
        <v>0</v>
      </c>
      <c r="AT44" s="452">
        <f t="shared" si="101"/>
        <v>0</v>
      </c>
      <c r="AU44" s="452">
        <f t="shared" si="102"/>
        <v>0</v>
      </c>
      <c r="AV44" s="449">
        <f t="shared" si="103"/>
        <v>0</v>
      </c>
      <c r="AW44" s="451">
        <f t="shared" si="104"/>
        <v>0</v>
      </c>
      <c r="AX44" s="248">
        <v>0</v>
      </c>
      <c r="AY44" s="246">
        <v>0</v>
      </c>
      <c r="AZ44" s="450">
        <v>0</v>
      </c>
      <c r="BA44" s="449">
        <v>0</v>
      </c>
      <c r="BB44" s="452">
        <f t="shared" si="105"/>
        <v>0</v>
      </c>
      <c r="BC44" s="449">
        <f t="shared" si="106"/>
        <v>0</v>
      </c>
      <c r="BD44" s="451">
        <f t="shared" si="107"/>
        <v>0</v>
      </c>
      <c r="BE44" s="248">
        <v>0</v>
      </c>
      <c r="BF44" s="246">
        <v>0</v>
      </c>
      <c r="BG44" s="450">
        <v>0</v>
      </c>
      <c r="BH44" s="449">
        <v>0</v>
      </c>
      <c r="BI44" s="452">
        <f t="shared" si="108"/>
        <v>0</v>
      </c>
      <c r="BJ44" s="449">
        <f t="shared" si="109"/>
        <v>0</v>
      </c>
      <c r="BK44" s="451">
        <f t="shared" si="124"/>
        <v>0</v>
      </c>
      <c r="BL44" s="248">
        <v>0</v>
      </c>
      <c r="BM44" s="246">
        <v>0</v>
      </c>
      <c r="BN44" s="450">
        <v>0</v>
      </c>
      <c r="BO44" s="449">
        <v>0</v>
      </c>
      <c r="BP44" s="452">
        <f t="shared" si="111"/>
        <v>0</v>
      </c>
      <c r="BQ44" s="452">
        <f t="shared" si="112"/>
        <v>0</v>
      </c>
      <c r="BR44" s="449">
        <f t="shared" si="113"/>
        <v>0</v>
      </c>
      <c r="BS44" s="451">
        <f t="shared" si="114"/>
        <v>0</v>
      </c>
      <c r="BT44" s="245">
        <f t="shared" si="115"/>
        <v>0</v>
      </c>
      <c r="BU44" s="246">
        <f t="shared" si="116"/>
        <v>0</v>
      </c>
      <c r="BV44" s="450">
        <f t="shared" si="117"/>
        <v>0</v>
      </c>
      <c r="BW44" s="449">
        <f t="shared" si="118"/>
        <v>0</v>
      </c>
      <c r="BX44" s="452">
        <f t="shared" si="119"/>
        <v>0</v>
      </c>
      <c r="BY44" s="449">
        <f t="shared" si="120"/>
        <v>0</v>
      </c>
      <c r="BZ44" s="451">
        <f t="shared" si="121"/>
        <v>0</v>
      </c>
      <c r="CA44" s="242">
        <f t="shared" si="122"/>
        <v>0</v>
      </c>
      <c r="CB44" s="453">
        <f t="shared" si="123"/>
        <v>0</v>
      </c>
      <c r="CC44" s="45">
        <f t="shared" si="50"/>
        <v>0</v>
      </c>
    </row>
    <row r="45" spans="1:155">
      <c r="B45" s="251"/>
      <c r="C45" s="239"/>
      <c r="D45" s="239"/>
      <c r="E45" s="252"/>
      <c r="F45" s="241">
        <f t="shared" si="74"/>
        <v>0</v>
      </c>
      <c r="G45" s="239"/>
      <c r="H45" s="239"/>
      <c r="I45" s="239"/>
      <c r="J45" s="239"/>
      <c r="K45" s="239"/>
      <c r="L45" s="239"/>
      <c r="M45" s="239"/>
      <c r="N45" s="239"/>
      <c r="O45" s="239"/>
      <c r="P45" s="239"/>
      <c r="Q45" s="239"/>
      <c r="R45" s="239"/>
      <c r="S45" s="242">
        <f t="shared" si="75"/>
        <v>0</v>
      </c>
      <c r="T45" s="243">
        <f t="shared" si="76"/>
        <v>0</v>
      </c>
      <c r="U45" s="242">
        <f t="shared" si="77"/>
        <v>0</v>
      </c>
      <c r="V45" s="242">
        <f t="shared" si="78"/>
        <v>0</v>
      </c>
      <c r="W45" s="242">
        <f t="shared" si="79"/>
        <v>0</v>
      </c>
      <c r="X45" s="244"/>
      <c r="Y45" s="449">
        <f t="shared" si="80"/>
        <v>0</v>
      </c>
      <c r="Z45" s="245">
        <f t="shared" si="81"/>
        <v>0</v>
      </c>
      <c r="AA45" s="246">
        <f t="shared" si="82"/>
        <v>0</v>
      </c>
      <c r="AB45" s="450">
        <f t="shared" si="83"/>
        <v>0</v>
      </c>
      <c r="AC45" s="449">
        <f t="shared" si="84"/>
        <v>0</v>
      </c>
      <c r="AD45" s="451">
        <f t="shared" si="85"/>
        <v>0</v>
      </c>
      <c r="AE45" s="451">
        <f t="shared" si="86"/>
        <v>0</v>
      </c>
      <c r="AF45" s="449">
        <f t="shared" si="87"/>
        <v>0</v>
      </c>
      <c r="AG45" s="451">
        <f t="shared" si="88"/>
        <v>0</v>
      </c>
      <c r="AH45" s="250">
        <f t="shared" si="89"/>
        <v>0</v>
      </c>
      <c r="AI45" s="246">
        <f t="shared" si="90"/>
        <v>0</v>
      </c>
      <c r="AJ45" s="450">
        <f t="shared" si="91"/>
        <v>0</v>
      </c>
      <c r="AK45" s="449">
        <f t="shared" si="92"/>
        <v>0</v>
      </c>
      <c r="AL45" s="452">
        <f t="shared" si="93"/>
        <v>0</v>
      </c>
      <c r="AM45" s="452">
        <f t="shared" si="94"/>
        <v>0</v>
      </c>
      <c r="AN45" s="449">
        <f t="shared" si="95"/>
        <v>0</v>
      </c>
      <c r="AO45" s="451">
        <f t="shared" si="96"/>
        <v>0</v>
      </c>
      <c r="AP45" s="250">
        <f t="shared" si="97"/>
        <v>0</v>
      </c>
      <c r="AQ45" s="246">
        <f t="shared" si="98"/>
        <v>0</v>
      </c>
      <c r="AR45" s="450">
        <f t="shared" si="99"/>
        <v>0</v>
      </c>
      <c r="AS45" s="449">
        <f t="shared" si="100"/>
        <v>0</v>
      </c>
      <c r="AT45" s="452">
        <f t="shared" si="101"/>
        <v>0</v>
      </c>
      <c r="AU45" s="452">
        <f t="shared" si="102"/>
        <v>0</v>
      </c>
      <c r="AV45" s="449">
        <f t="shared" si="103"/>
        <v>0</v>
      </c>
      <c r="AW45" s="451">
        <f t="shared" si="104"/>
        <v>0</v>
      </c>
      <c r="AX45" s="248">
        <v>0</v>
      </c>
      <c r="AY45" s="246">
        <v>0</v>
      </c>
      <c r="AZ45" s="450">
        <v>0</v>
      </c>
      <c r="BA45" s="449">
        <v>0</v>
      </c>
      <c r="BB45" s="452">
        <f t="shared" si="105"/>
        <v>0</v>
      </c>
      <c r="BC45" s="449">
        <f t="shared" si="106"/>
        <v>0</v>
      </c>
      <c r="BD45" s="451">
        <f t="shared" si="107"/>
        <v>0</v>
      </c>
      <c r="BE45" s="248">
        <v>0</v>
      </c>
      <c r="BF45" s="246">
        <v>0</v>
      </c>
      <c r="BG45" s="450">
        <v>0</v>
      </c>
      <c r="BH45" s="449">
        <v>0</v>
      </c>
      <c r="BI45" s="452">
        <f t="shared" si="108"/>
        <v>0</v>
      </c>
      <c r="BJ45" s="449">
        <f t="shared" si="109"/>
        <v>0</v>
      </c>
      <c r="BK45" s="451">
        <f t="shared" si="124"/>
        <v>0</v>
      </c>
      <c r="BL45" s="248">
        <v>0</v>
      </c>
      <c r="BM45" s="246">
        <v>0</v>
      </c>
      <c r="BN45" s="450">
        <v>0</v>
      </c>
      <c r="BO45" s="449">
        <v>0</v>
      </c>
      <c r="BP45" s="452">
        <f t="shared" si="111"/>
        <v>0</v>
      </c>
      <c r="BQ45" s="452">
        <f t="shared" si="112"/>
        <v>0</v>
      </c>
      <c r="BR45" s="449">
        <f t="shared" si="113"/>
        <v>0</v>
      </c>
      <c r="BS45" s="451">
        <f t="shared" si="114"/>
        <v>0</v>
      </c>
      <c r="BT45" s="245">
        <f t="shared" si="115"/>
        <v>0</v>
      </c>
      <c r="BU45" s="246">
        <f t="shared" si="116"/>
        <v>0</v>
      </c>
      <c r="BV45" s="450">
        <f t="shared" si="117"/>
        <v>0</v>
      </c>
      <c r="BW45" s="449">
        <f t="shared" si="118"/>
        <v>0</v>
      </c>
      <c r="BX45" s="452">
        <f t="shared" si="119"/>
        <v>0</v>
      </c>
      <c r="BY45" s="449">
        <f t="shared" si="120"/>
        <v>0</v>
      </c>
      <c r="BZ45" s="451">
        <f t="shared" si="121"/>
        <v>0</v>
      </c>
      <c r="CA45" s="242">
        <f t="shared" si="122"/>
        <v>0</v>
      </c>
      <c r="CB45" s="453">
        <f t="shared" si="123"/>
        <v>0</v>
      </c>
      <c r="CC45" s="45">
        <f t="shared" si="50"/>
        <v>0</v>
      </c>
    </row>
    <row r="46" spans="1:155">
      <c r="B46" s="455" t="s">
        <v>227</v>
      </c>
      <c r="C46" s="470"/>
      <c r="D46" s="470"/>
      <c r="E46" s="456"/>
      <c r="F46" s="456"/>
      <c r="G46" s="457"/>
      <c r="H46" s="457"/>
      <c r="I46" s="457"/>
      <c r="J46" s="457"/>
      <c r="K46" s="457"/>
      <c r="L46" s="457"/>
      <c r="M46" s="457"/>
      <c r="N46" s="457"/>
      <c r="O46" s="457"/>
      <c r="P46" s="457"/>
      <c r="Q46" s="457"/>
      <c r="R46" s="457"/>
      <c r="S46" s="456"/>
      <c r="T46" s="456"/>
      <c r="U46" s="456"/>
      <c r="V46" s="456"/>
      <c r="W46" s="456"/>
      <c r="X46" s="458"/>
      <c r="Y46" s="456"/>
      <c r="Z46" s="456"/>
      <c r="AA46" s="456"/>
      <c r="AB46" s="460"/>
      <c r="AC46" s="456"/>
      <c r="AD46" s="461"/>
      <c r="AE46" s="462">
        <f>SUM(AE35:AE45)</f>
        <v>0</v>
      </c>
      <c r="AF46" s="463">
        <f>IF(AE46&gt;0,SQRT(SUM(AG35:AG45))/AE46,0)</f>
        <v>0</v>
      </c>
      <c r="AG46" s="468"/>
      <c r="AH46" s="464"/>
      <c r="AI46" s="456"/>
      <c r="AJ46" s="465"/>
      <c r="AK46" s="456"/>
      <c r="AL46" s="466"/>
      <c r="AM46" s="462">
        <f>SUM(AM35:AM45)</f>
        <v>0</v>
      </c>
      <c r="AN46" s="463">
        <f>IF(AM46&gt;0,SQRT(SUM(AO35:AO45))/AM46,0)</f>
        <v>0</v>
      </c>
      <c r="AO46" s="468"/>
      <c r="AP46" s="456"/>
      <c r="AQ46" s="456"/>
      <c r="AR46" s="465"/>
      <c r="AS46" s="456"/>
      <c r="AT46" s="456"/>
      <c r="AU46" s="462">
        <f>SUM(AU35:AU45)</f>
        <v>0</v>
      </c>
      <c r="AV46" s="463">
        <f>IF(AU46&gt;0,SQRT(SUM(AW35:AW45))/AU46,0)</f>
        <v>0</v>
      </c>
      <c r="AW46" s="468"/>
      <c r="AX46" s="456"/>
      <c r="AY46" s="456"/>
      <c r="AZ46" s="465"/>
      <c r="BA46" s="456"/>
      <c r="BB46" s="462">
        <f>SUM(BB35:BB45)</f>
        <v>0</v>
      </c>
      <c r="BC46" s="463">
        <f>IF(BB46&gt;0,SQRT(SUM(BD35:BD45))/BB46,0)</f>
        <v>0</v>
      </c>
      <c r="BD46" s="468"/>
      <c r="BE46" s="456"/>
      <c r="BF46" s="456"/>
      <c r="BG46" s="465"/>
      <c r="BH46" s="456"/>
      <c r="BI46" s="462">
        <f>SUM(BI35:BI45)</f>
        <v>0</v>
      </c>
      <c r="BJ46" s="463">
        <f>IF(BI46&gt;0,SQRT(SUM(BK35:BK45))/BI46,0)</f>
        <v>0</v>
      </c>
      <c r="BK46" s="468"/>
      <c r="BL46" s="456"/>
      <c r="BM46" s="456"/>
      <c r="BN46" s="460"/>
      <c r="BO46" s="467"/>
      <c r="BP46" s="468"/>
      <c r="BQ46" s="462">
        <f>SUM(BQ35:BQ45)</f>
        <v>0</v>
      </c>
      <c r="BR46" s="463">
        <f>IF(BQ46&gt;0,SQRT(SUM(BS35:BS45))/BQ46,0)</f>
        <v>0</v>
      </c>
      <c r="BS46" s="468"/>
      <c r="BT46" s="456"/>
      <c r="BU46" s="456"/>
      <c r="BV46" s="460"/>
      <c r="BW46" s="467"/>
      <c r="BX46" s="462">
        <f>SUM(BX35:BX45)</f>
        <v>0</v>
      </c>
      <c r="BY46" s="463">
        <f>IF(BX46&gt;0,SQRT(SUM(BZ35:BZ45))/BX46,0)</f>
        <v>0</v>
      </c>
      <c r="BZ46" s="468"/>
      <c r="CA46" s="462">
        <f>SUM(CA35:CA45)</f>
        <v>0</v>
      </c>
      <c r="CB46" s="469">
        <f>IF(CA46&gt;0,SQRT(SUM(CC35:CC45))/CA46,0)</f>
        <v>0</v>
      </c>
      <c r="CC46" s="45">
        <f t="shared" si="50"/>
        <v>0</v>
      </c>
    </row>
    <row r="47" spans="1:155">
      <c r="B47" s="555" t="s">
        <v>240</v>
      </c>
      <c r="C47" s="239"/>
      <c r="D47" s="239"/>
      <c r="E47" s="252"/>
      <c r="F47" s="241">
        <f>VLOOKUP($E47,$CD$138:$DH$504,2,FALSE)</f>
        <v>0</v>
      </c>
      <c r="G47" s="239"/>
      <c r="H47" s="239"/>
      <c r="I47" s="239"/>
      <c r="J47" s="239"/>
      <c r="K47" s="239"/>
      <c r="L47" s="239"/>
      <c r="M47" s="239"/>
      <c r="N47" s="239"/>
      <c r="O47" s="239"/>
      <c r="P47" s="239"/>
      <c r="Q47" s="239"/>
      <c r="R47" s="239"/>
      <c r="S47" s="242">
        <f t="shared" ref="S47:S50" si="125">SUM(G47:R47)</f>
        <v>0</v>
      </c>
      <c r="T47" s="243">
        <f t="shared" ref="T47:T50" si="126">COUNT(G47:R47)</f>
        <v>0</v>
      </c>
      <c r="U47" s="242">
        <f t="shared" ref="U47:U50" si="127">IF(T47&gt;1,AVERAGE(G47:R47),0)</f>
        <v>0</v>
      </c>
      <c r="V47" s="242">
        <f t="shared" ref="V47:V50" si="128">IF(T47&gt;1,STDEV(G47:R47),0)</f>
        <v>0</v>
      </c>
      <c r="W47" s="242">
        <f>IF(T47&gt;1,VLOOKUP($T47,$CD$414:$CE$426,2,FALSE),0)</f>
        <v>0</v>
      </c>
      <c r="X47" s="244"/>
      <c r="Y47" s="449">
        <f>IF(X47&gt;0,X47,IF(T47&gt;1,1-((U47-((V47*W47)/(SQRT(T47))))/U47),VLOOKUP($E47,$CD$138:$DK$504,34,FALSE)))</f>
        <v>0</v>
      </c>
      <c r="Z47" s="245">
        <f>VLOOKUP($E47,$CD$138:$DH$504,3,FALSE)</f>
        <v>0</v>
      </c>
      <c r="AA47" s="246">
        <f>VLOOKUP($E47,$CD$138:$DH$504,4,FALSE)</f>
        <v>0</v>
      </c>
      <c r="AB47" s="450">
        <f>IF($S47&gt;0,VLOOKUP($E47,$CD$138:$DH$504,7,FALSE),0)</f>
        <v>0</v>
      </c>
      <c r="AC47" s="449">
        <f>IF($S47&gt;0,VLOOKUP($E47,$CD$138:$DH$504,6,FALSE),0)</f>
        <v>0</v>
      </c>
      <c r="AD47" s="451">
        <f t="shared" ref="AD47:AD50" si="129">($S47*Z47)/1000</f>
        <v>0</v>
      </c>
      <c r="AE47" s="451">
        <f>AD47*$CE$432</f>
        <v>0</v>
      </c>
      <c r="AF47" s="449">
        <f t="shared" ref="AF47:AF50" si="130">IF(AD47&gt;0,SQRT(($Y47*$Y47)+(AC47*AC47)),0)</f>
        <v>0</v>
      </c>
      <c r="AG47" s="451">
        <f t="shared" ref="AG47:AG52" si="131">(AE47*AF47)^2</f>
        <v>0</v>
      </c>
      <c r="AH47" s="250">
        <v>0</v>
      </c>
      <c r="AI47" s="246">
        <v>0</v>
      </c>
      <c r="AJ47" s="450">
        <v>0</v>
      </c>
      <c r="AK47" s="449">
        <v>0</v>
      </c>
      <c r="AL47" s="452">
        <f t="shared" ref="AL47:AL50" si="132">($S47*AH47)/1000</f>
        <v>0</v>
      </c>
      <c r="AM47" s="452">
        <f>AL47*$CE$433</f>
        <v>0</v>
      </c>
      <c r="AN47" s="449">
        <f t="shared" ref="AN47:AN50" si="133">IF(AL47&gt;0,SQRT(($Y47*$Y47)+(AK47*AK47)),0)</f>
        <v>0</v>
      </c>
      <c r="AO47" s="451">
        <f t="shared" ref="AO47:AO52" si="134">(AM47*AN47)^2</f>
        <v>0</v>
      </c>
      <c r="AP47" s="250">
        <v>0</v>
      </c>
      <c r="AQ47" s="246">
        <v>0</v>
      </c>
      <c r="AR47" s="450">
        <v>0</v>
      </c>
      <c r="AS47" s="449">
        <v>0</v>
      </c>
      <c r="AT47" s="452">
        <f>($S47*AP47)/1000</f>
        <v>0</v>
      </c>
      <c r="AU47" s="452">
        <f>AT47*$CE$434</f>
        <v>0</v>
      </c>
      <c r="AV47" s="449">
        <f t="shared" ref="AV47:AV50" si="135">IF(AT47&gt;0,SQRT(($Y47*$Y47)+(AS47*AS47)),0)</f>
        <v>0</v>
      </c>
      <c r="AW47" s="451">
        <f t="shared" ref="AW47:AW52" si="136">(AU47*AV47)^2</f>
        <v>0</v>
      </c>
      <c r="AX47" s="248">
        <v>0</v>
      </c>
      <c r="AY47" s="246">
        <v>0</v>
      </c>
      <c r="AZ47" s="450">
        <v>0</v>
      </c>
      <c r="BA47" s="449">
        <v>0</v>
      </c>
      <c r="BB47" s="452">
        <f t="shared" ref="BB47:BB50" si="137">($S47*AX47)/1000</f>
        <v>0</v>
      </c>
      <c r="BC47" s="449">
        <f t="shared" ref="BC47:BC50" si="138">IF(BB47&gt;0,SQRT(($Y47*$Y47)+(BA47*BA47)),0)</f>
        <v>0</v>
      </c>
      <c r="BD47" s="451">
        <f t="shared" ref="BD47:BD52" si="139">(BB47*BC47)^2</f>
        <v>0</v>
      </c>
      <c r="BE47" s="248">
        <v>0</v>
      </c>
      <c r="BF47" s="246">
        <v>0</v>
      </c>
      <c r="BG47" s="450">
        <v>0</v>
      </c>
      <c r="BH47" s="449">
        <v>0</v>
      </c>
      <c r="BI47" s="452">
        <f t="shared" ref="BI47:BI50" si="140">($S47*BE47)/1000</f>
        <v>0</v>
      </c>
      <c r="BJ47" s="449">
        <f t="shared" ref="BJ47:BJ50" si="141">IF(BI47&gt;0,SQRT(($Y47*$Y47)+(BH47*BH47)),0)</f>
        <v>0</v>
      </c>
      <c r="BK47" s="451">
        <f t="shared" ref="BK47:BK52" si="142">(BI47*BJ47)^2</f>
        <v>0</v>
      </c>
      <c r="BL47" s="248">
        <v>0</v>
      </c>
      <c r="BM47" s="246">
        <v>0</v>
      </c>
      <c r="BN47" s="450">
        <v>0</v>
      </c>
      <c r="BO47" s="449">
        <v>0</v>
      </c>
      <c r="BP47" s="452">
        <f t="shared" ref="BP47:BP50" si="143">($S47*BL47)/1000</f>
        <v>0</v>
      </c>
      <c r="BQ47" s="452">
        <f>BP47*$CE$435</f>
        <v>0</v>
      </c>
      <c r="BR47" s="449">
        <f t="shared" ref="BR47:BR50" si="144">IF(BP47&gt;0,SQRT(($Y47*$Y47)+(BO47*BO47)),0)</f>
        <v>0</v>
      </c>
      <c r="BS47" s="451">
        <f t="shared" ref="BS47:BS52" si="145">(BQ47*BR47)^2</f>
        <v>0</v>
      </c>
      <c r="BT47" s="248">
        <v>0</v>
      </c>
      <c r="BU47" s="246">
        <v>0</v>
      </c>
      <c r="BV47" s="450">
        <v>0</v>
      </c>
      <c r="BW47" s="449">
        <v>0</v>
      </c>
      <c r="BX47" s="452">
        <v>0</v>
      </c>
      <c r="BY47" s="449">
        <v>0</v>
      </c>
      <c r="BZ47" s="451">
        <f t="shared" ref="BZ47:BZ52" si="146">(BX47*BY47)^2</f>
        <v>0</v>
      </c>
      <c r="CA47" s="242">
        <f t="shared" ref="CA47:CA50" si="147">IF(C47="EmisionesGEI",D47,AE47+AM47+AU47+BB47+BQ47)</f>
        <v>0</v>
      </c>
      <c r="CB47" s="453">
        <f>IF(CA47&gt;0,SQRT(AG47+AO47+AW47+BD47+BS47)/CA47,0)</f>
        <v>0</v>
      </c>
      <c r="CC47" s="45">
        <f t="shared" si="50"/>
        <v>0</v>
      </c>
    </row>
    <row r="48" spans="1:155">
      <c r="B48" s="556"/>
      <c r="C48" s="239"/>
      <c r="D48" s="239"/>
      <c r="E48" s="252"/>
      <c r="F48" s="241">
        <f>VLOOKUP($E48,$CD$138:$DH$504,2,FALSE)</f>
        <v>0</v>
      </c>
      <c r="G48" s="239"/>
      <c r="H48" s="239"/>
      <c r="I48" s="239"/>
      <c r="J48" s="239"/>
      <c r="K48" s="239"/>
      <c r="L48" s="239"/>
      <c r="M48" s="239"/>
      <c r="N48" s="239"/>
      <c r="O48" s="239"/>
      <c r="P48" s="239"/>
      <c r="Q48" s="239"/>
      <c r="R48" s="239"/>
      <c r="S48" s="242">
        <f t="shared" si="125"/>
        <v>0</v>
      </c>
      <c r="T48" s="243">
        <f t="shared" si="126"/>
        <v>0</v>
      </c>
      <c r="U48" s="242">
        <f t="shared" si="127"/>
        <v>0</v>
      </c>
      <c r="V48" s="242">
        <f t="shared" si="128"/>
        <v>0</v>
      </c>
      <c r="W48" s="242">
        <f>IF(T48&gt;1,VLOOKUP($T48,$CD$414:$CE$426,2,FALSE),0)</f>
        <v>0</v>
      </c>
      <c r="X48" s="244"/>
      <c r="Y48" s="449">
        <f>IF(X48&gt;0,X48,IF(T48&gt;1,1-((U48-((V48*W48)/(SQRT(T48))))/U48),VLOOKUP($E48,$CD$138:$DK$504,34,FALSE)))</f>
        <v>0</v>
      </c>
      <c r="Z48" s="245">
        <v>0</v>
      </c>
      <c r="AA48" s="246">
        <v>0</v>
      </c>
      <c r="AB48" s="450">
        <v>0</v>
      </c>
      <c r="AC48" s="449">
        <v>0</v>
      </c>
      <c r="AD48" s="451">
        <f t="shared" si="129"/>
        <v>0</v>
      </c>
      <c r="AE48" s="451">
        <f>AD48*$CE$432</f>
        <v>0</v>
      </c>
      <c r="AF48" s="449">
        <f t="shared" si="130"/>
        <v>0</v>
      </c>
      <c r="AG48" s="451">
        <f t="shared" si="131"/>
        <v>0</v>
      </c>
      <c r="AH48" s="250">
        <v>0</v>
      </c>
      <c r="AI48" s="246">
        <v>0</v>
      </c>
      <c r="AJ48" s="450">
        <v>0</v>
      </c>
      <c r="AK48" s="449">
        <v>0</v>
      </c>
      <c r="AL48" s="452">
        <f t="shared" si="132"/>
        <v>0</v>
      </c>
      <c r="AM48" s="452">
        <f>AL48*$CE$433</f>
        <v>0</v>
      </c>
      <c r="AN48" s="449">
        <f t="shared" si="133"/>
        <v>0</v>
      </c>
      <c r="AO48" s="451">
        <f t="shared" si="134"/>
        <v>0</v>
      </c>
      <c r="AP48" s="250">
        <v>0</v>
      </c>
      <c r="AQ48" s="246">
        <v>0</v>
      </c>
      <c r="AR48" s="450">
        <v>0</v>
      </c>
      <c r="AS48" s="449">
        <v>0</v>
      </c>
      <c r="AT48" s="452">
        <f>($S48*AP48)/1000</f>
        <v>0</v>
      </c>
      <c r="AU48" s="452">
        <f>AT48*$CE$434</f>
        <v>0</v>
      </c>
      <c r="AV48" s="449">
        <f t="shared" si="135"/>
        <v>0</v>
      </c>
      <c r="AW48" s="451">
        <f t="shared" si="136"/>
        <v>0</v>
      </c>
      <c r="AX48" s="248">
        <f>VLOOKUP($E48,$CD$138:$DH$504,3,FALSE)</f>
        <v>0</v>
      </c>
      <c r="AY48" s="246">
        <f>VLOOKUP($E48,$CD$138:$DH$504,4,FALSE)</f>
        <v>0</v>
      </c>
      <c r="AZ48" s="450">
        <f>IF($S48&gt;0,VLOOKUP($E48,$CD$138:$DH$504,7,FALSE),0)</f>
        <v>0</v>
      </c>
      <c r="BA48" s="449">
        <f>IF($S48&gt;0,VLOOKUP($E48,$CD$138:$DH$504,6,FALSE),0)</f>
        <v>0</v>
      </c>
      <c r="BB48" s="452">
        <f t="shared" si="137"/>
        <v>0</v>
      </c>
      <c r="BC48" s="449">
        <f t="shared" si="138"/>
        <v>0</v>
      </c>
      <c r="BD48" s="451">
        <f t="shared" si="139"/>
        <v>0</v>
      </c>
      <c r="BE48" s="248">
        <v>0</v>
      </c>
      <c r="BF48" s="246">
        <f>VLOOKUP($E48,$CD$138:$DH$504,4,FALSE)</f>
        <v>0</v>
      </c>
      <c r="BG48" s="450">
        <f>IF($S48&gt;0,VLOOKUP($E48,$CD$138:$DH$504,7,FALSE),0)</f>
        <v>0</v>
      </c>
      <c r="BH48" s="449">
        <f>IF($S48&gt;0,VLOOKUP($E48,$CD$138:$DH$504,6,FALSE),0)</f>
        <v>0</v>
      </c>
      <c r="BI48" s="452">
        <f t="shared" si="140"/>
        <v>0</v>
      </c>
      <c r="BJ48" s="449">
        <f t="shared" si="141"/>
        <v>0</v>
      </c>
      <c r="BK48" s="451">
        <f t="shared" si="142"/>
        <v>0</v>
      </c>
      <c r="BL48" s="248">
        <v>0</v>
      </c>
      <c r="BM48" s="246">
        <v>0</v>
      </c>
      <c r="BN48" s="450">
        <v>0</v>
      </c>
      <c r="BO48" s="449">
        <v>0</v>
      </c>
      <c r="BP48" s="452">
        <f t="shared" si="143"/>
        <v>0</v>
      </c>
      <c r="BQ48" s="452">
        <f>BP48*$CE$435</f>
        <v>0</v>
      </c>
      <c r="BR48" s="449">
        <f t="shared" si="144"/>
        <v>0</v>
      </c>
      <c r="BS48" s="451">
        <f t="shared" si="145"/>
        <v>0</v>
      </c>
      <c r="BT48" s="248">
        <v>0</v>
      </c>
      <c r="BU48" s="246">
        <v>0</v>
      </c>
      <c r="BV48" s="450">
        <v>0</v>
      </c>
      <c r="BW48" s="449">
        <v>0</v>
      </c>
      <c r="BX48" s="452">
        <v>0</v>
      </c>
      <c r="BY48" s="449">
        <v>0</v>
      </c>
      <c r="BZ48" s="451">
        <f t="shared" si="146"/>
        <v>0</v>
      </c>
      <c r="CA48" s="242">
        <f t="shared" si="147"/>
        <v>0</v>
      </c>
      <c r="CB48" s="453">
        <f>IF(CA48&gt;0,SQRT(AG48+AO48+AW48+BD48+BS48)/CA48,0)</f>
        <v>0</v>
      </c>
      <c r="CC48" s="45">
        <f t="shared" si="50"/>
        <v>0</v>
      </c>
    </row>
    <row r="49" spans="1:155">
      <c r="B49" s="555" t="s">
        <v>241</v>
      </c>
      <c r="C49" s="239"/>
      <c r="D49" s="239"/>
      <c r="E49" s="252"/>
      <c r="F49" s="241">
        <f>VLOOKUP($E49,$CD$138:$DH$504,2,FALSE)</f>
        <v>0</v>
      </c>
      <c r="G49" s="239"/>
      <c r="H49" s="239"/>
      <c r="I49" s="239"/>
      <c r="J49" s="239"/>
      <c r="K49" s="239"/>
      <c r="L49" s="239"/>
      <c r="M49" s="239"/>
      <c r="N49" s="239"/>
      <c r="O49" s="239"/>
      <c r="P49" s="239"/>
      <c r="Q49" s="239"/>
      <c r="R49" s="239"/>
      <c r="S49" s="242">
        <f t="shared" si="125"/>
        <v>0</v>
      </c>
      <c r="T49" s="243">
        <f t="shared" si="126"/>
        <v>0</v>
      </c>
      <c r="U49" s="242">
        <f t="shared" si="127"/>
        <v>0</v>
      </c>
      <c r="V49" s="242">
        <f t="shared" si="128"/>
        <v>0</v>
      </c>
      <c r="W49" s="242">
        <f>IF(T49&gt;1,VLOOKUP($T49,$CD$414:$CE$426,2,FALSE),0)</f>
        <v>0</v>
      </c>
      <c r="X49" s="244"/>
      <c r="Y49" s="449">
        <f>IF(X49&gt;0,X49,IF(T49&gt;1,1-((U49-((V49*W49)/(SQRT(T49))))/U49),VLOOKUP($E49,$CD$138:$DK$504,34,FALSE)))</f>
        <v>0</v>
      </c>
      <c r="Z49" s="245">
        <f>VLOOKUP($E49,$CD$138:$DH$504,3,FALSE)</f>
        <v>0</v>
      </c>
      <c r="AA49" s="246">
        <f>VLOOKUP($E49,$CD$138:$DH$504,4,FALSE)</f>
        <v>0</v>
      </c>
      <c r="AB49" s="450">
        <f>IF($S49&gt;0,VLOOKUP($E49,$CD$138:$DH$504,7,FALSE),0)</f>
        <v>0</v>
      </c>
      <c r="AC49" s="449">
        <f>IF($S49&gt;0,VLOOKUP($E49,$CD$138:$DH$504,6,FALSE),0)</f>
        <v>0</v>
      </c>
      <c r="AD49" s="451">
        <f t="shared" si="129"/>
        <v>0</v>
      </c>
      <c r="AE49" s="451">
        <f>AD49*$CE$432</f>
        <v>0</v>
      </c>
      <c r="AF49" s="449">
        <f t="shared" si="130"/>
        <v>0</v>
      </c>
      <c r="AG49" s="451">
        <f t="shared" si="131"/>
        <v>0</v>
      </c>
      <c r="AH49" s="250">
        <v>0</v>
      </c>
      <c r="AI49" s="246">
        <v>0</v>
      </c>
      <c r="AJ49" s="450">
        <v>0</v>
      </c>
      <c r="AK49" s="449">
        <v>0</v>
      </c>
      <c r="AL49" s="452">
        <f t="shared" si="132"/>
        <v>0</v>
      </c>
      <c r="AM49" s="452">
        <f>AL49*$CE$433</f>
        <v>0</v>
      </c>
      <c r="AN49" s="449">
        <f t="shared" si="133"/>
        <v>0</v>
      </c>
      <c r="AO49" s="451">
        <f t="shared" si="134"/>
        <v>0</v>
      </c>
      <c r="AP49" s="250">
        <v>0</v>
      </c>
      <c r="AQ49" s="246">
        <v>0</v>
      </c>
      <c r="AR49" s="450">
        <v>0</v>
      </c>
      <c r="AS49" s="449">
        <v>0</v>
      </c>
      <c r="AT49" s="452">
        <f>($S49*AP49)/1000</f>
        <v>0</v>
      </c>
      <c r="AU49" s="452">
        <f>AT49*$CE$434</f>
        <v>0</v>
      </c>
      <c r="AV49" s="449">
        <f t="shared" si="135"/>
        <v>0</v>
      </c>
      <c r="AW49" s="451">
        <f t="shared" si="136"/>
        <v>0</v>
      </c>
      <c r="AX49" s="248">
        <v>0</v>
      </c>
      <c r="AY49" s="246">
        <v>0</v>
      </c>
      <c r="AZ49" s="450">
        <v>0</v>
      </c>
      <c r="BA49" s="449">
        <v>0</v>
      </c>
      <c r="BB49" s="452">
        <f t="shared" si="137"/>
        <v>0</v>
      </c>
      <c r="BC49" s="449">
        <f t="shared" si="138"/>
        <v>0</v>
      </c>
      <c r="BD49" s="451">
        <f t="shared" si="139"/>
        <v>0</v>
      </c>
      <c r="BE49" s="248">
        <v>0</v>
      </c>
      <c r="BF49" s="246">
        <v>0</v>
      </c>
      <c r="BG49" s="450">
        <v>0</v>
      </c>
      <c r="BH49" s="449">
        <v>0</v>
      </c>
      <c r="BI49" s="452">
        <f t="shared" si="140"/>
        <v>0</v>
      </c>
      <c r="BJ49" s="449">
        <f t="shared" si="141"/>
        <v>0</v>
      </c>
      <c r="BK49" s="451">
        <f t="shared" si="142"/>
        <v>0</v>
      </c>
      <c r="BL49" s="248">
        <v>0</v>
      </c>
      <c r="BM49" s="246">
        <v>0</v>
      </c>
      <c r="BN49" s="450">
        <v>0</v>
      </c>
      <c r="BO49" s="449">
        <v>0</v>
      </c>
      <c r="BP49" s="452">
        <f t="shared" si="143"/>
        <v>0</v>
      </c>
      <c r="BQ49" s="452">
        <f>BP49*$CE$435</f>
        <v>0</v>
      </c>
      <c r="BR49" s="449">
        <f t="shared" si="144"/>
        <v>0</v>
      </c>
      <c r="BS49" s="451">
        <f t="shared" si="145"/>
        <v>0</v>
      </c>
      <c r="BT49" s="248">
        <v>0</v>
      </c>
      <c r="BU49" s="246">
        <v>0</v>
      </c>
      <c r="BV49" s="450">
        <v>0</v>
      </c>
      <c r="BW49" s="449">
        <v>0</v>
      </c>
      <c r="BX49" s="452">
        <v>0</v>
      </c>
      <c r="BY49" s="449">
        <v>0</v>
      </c>
      <c r="BZ49" s="451">
        <f t="shared" si="146"/>
        <v>0</v>
      </c>
      <c r="CA49" s="242">
        <f t="shared" si="147"/>
        <v>0</v>
      </c>
      <c r="CB49" s="453">
        <f>IF(CA49&gt;0,SQRT(AG49+AO49+AW49+BD49+BS49)/CA49,0)</f>
        <v>0</v>
      </c>
      <c r="CC49" s="45">
        <f t="shared" si="50"/>
        <v>0</v>
      </c>
    </row>
    <row r="50" spans="1:155">
      <c r="B50" s="556"/>
      <c r="C50" s="239"/>
      <c r="D50" s="239"/>
      <c r="E50" s="252"/>
      <c r="F50" s="241">
        <f>VLOOKUP($E50,$CD$138:$DH$504,2,FALSE)</f>
        <v>0</v>
      </c>
      <c r="G50" s="239"/>
      <c r="H50" s="239"/>
      <c r="I50" s="239"/>
      <c r="J50" s="239"/>
      <c r="K50" s="239"/>
      <c r="L50" s="239"/>
      <c r="M50" s="239"/>
      <c r="N50" s="239"/>
      <c r="O50" s="239"/>
      <c r="P50" s="239"/>
      <c r="Q50" s="239"/>
      <c r="R50" s="239"/>
      <c r="S50" s="242">
        <f t="shared" si="125"/>
        <v>0</v>
      </c>
      <c r="T50" s="243">
        <f t="shared" si="126"/>
        <v>0</v>
      </c>
      <c r="U50" s="242">
        <f t="shared" si="127"/>
        <v>0</v>
      </c>
      <c r="V50" s="242">
        <f t="shared" si="128"/>
        <v>0</v>
      </c>
      <c r="W50" s="242">
        <f>IF(T50&gt;1,VLOOKUP($T50,$CD$414:$CE$426,2,FALSE),0)</f>
        <v>0</v>
      </c>
      <c r="X50" s="244"/>
      <c r="Y50" s="449">
        <f>IF(X50&gt;0,X50,IF(T50&gt;1,1-((U50-((V50*W50)/(SQRT(T50))))/U50),VLOOKUP($E50,$CD$138:$DK$504,34,FALSE)))</f>
        <v>0</v>
      </c>
      <c r="Z50" s="245">
        <f>VLOOKUP($E50,$CD$138:$DH$504,3,FALSE)</f>
        <v>0</v>
      </c>
      <c r="AA50" s="246">
        <f>VLOOKUP($E50,$CD$138:$DH$504,4,FALSE)</f>
        <v>0</v>
      </c>
      <c r="AB50" s="450">
        <f>IF($S50&gt;0,VLOOKUP($E50,$CD$138:$DH$504,7,FALSE),0)</f>
        <v>0</v>
      </c>
      <c r="AC50" s="449">
        <f>IF($S50&gt;0,VLOOKUP($E50,$CD$138:$DH$504,6,FALSE),0)</f>
        <v>0</v>
      </c>
      <c r="AD50" s="451">
        <f t="shared" si="129"/>
        <v>0</v>
      </c>
      <c r="AE50" s="451">
        <f>AD50*$CE$432</f>
        <v>0</v>
      </c>
      <c r="AF50" s="449">
        <f t="shared" si="130"/>
        <v>0</v>
      </c>
      <c r="AG50" s="451">
        <f t="shared" si="131"/>
        <v>0</v>
      </c>
      <c r="AH50" s="250">
        <v>0</v>
      </c>
      <c r="AI50" s="246">
        <v>0</v>
      </c>
      <c r="AJ50" s="450">
        <v>0</v>
      </c>
      <c r="AK50" s="449">
        <v>0</v>
      </c>
      <c r="AL50" s="452">
        <f t="shared" si="132"/>
        <v>0</v>
      </c>
      <c r="AM50" s="452">
        <f>AL50*$CE$433</f>
        <v>0</v>
      </c>
      <c r="AN50" s="449">
        <f t="shared" si="133"/>
        <v>0</v>
      </c>
      <c r="AO50" s="451">
        <f t="shared" si="134"/>
        <v>0</v>
      </c>
      <c r="AP50" s="250">
        <v>0</v>
      </c>
      <c r="AQ50" s="246">
        <v>0</v>
      </c>
      <c r="AR50" s="450">
        <v>0</v>
      </c>
      <c r="AS50" s="449">
        <v>0</v>
      </c>
      <c r="AT50" s="452">
        <f>($S50*AP50)/1000</f>
        <v>0</v>
      </c>
      <c r="AU50" s="452">
        <f>AT50*$CE$434</f>
        <v>0</v>
      </c>
      <c r="AV50" s="449">
        <f t="shared" si="135"/>
        <v>0</v>
      </c>
      <c r="AW50" s="451">
        <f t="shared" si="136"/>
        <v>0</v>
      </c>
      <c r="AX50" s="248">
        <v>0</v>
      </c>
      <c r="AY50" s="246">
        <v>0</v>
      </c>
      <c r="AZ50" s="450">
        <v>0</v>
      </c>
      <c r="BA50" s="449">
        <v>0</v>
      </c>
      <c r="BB50" s="452">
        <f t="shared" si="137"/>
        <v>0</v>
      </c>
      <c r="BC50" s="449">
        <f t="shared" si="138"/>
        <v>0</v>
      </c>
      <c r="BD50" s="451">
        <f t="shared" si="139"/>
        <v>0</v>
      </c>
      <c r="BE50" s="248">
        <v>0</v>
      </c>
      <c r="BF50" s="246">
        <v>0</v>
      </c>
      <c r="BG50" s="450">
        <v>0</v>
      </c>
      <c r="BH50" s="449">
        <v>0</v>
      </c>
      <c r="BI50" s="452">
        <f t="shared" si="140"/>
        <v>0</v>
      </c>
      <c r="BJ50" s="449">
        <f t="shared" si="141"/>
        <v>0</v>
      </c>
      <c r="BK50" s="451">
        <f t="shared" si="142"/>
        <v>0</v>
      </c>
      <c r="BL50" s="248">
        <v>0</v>
      </c>
      <c r="BM50" s="246">
        <v>0</v>
      </c>
      <c r="BN50" s="450">
        <v>0</v>
      </c>
      <c r="BO50" s="449">
        <v>0</v>
      </c>
      <c r="BP50" s="452">
        <f t="shared" si="143"/>
        <v>0</v>
      </c>
      <c r="BQ50" s="452">
        <f>BP50*$CE$435</f>
        <v>0</v>
      </c>
      <c r="BR50" s="449">
        <f t="shared" si="144"/>
        <v>0</v>
      </c>
      <c r="BS50" s="451">
        <f t="shared" si="145"/>
        <v>0</v>
      </c>
      <c r="BT50" s="248">
        <v>0</v>
      </c>
      <c r="BU50" s="246">
        <v>0</v>
      </c>
      <c r="BV50" s="450">
        <v>0</v>
      </c>
      <c r="BW50" s="449">
        <v>0</v>
      </c>
      <c r="BX50" s="452">
        <v>0</v>
      </c>
      <c r="BY50" s="449">
        <v>0</v>
      </c>
      <c r="BZ50" s="451">
        <f t="shared" si="146"/>
        <v>0</v>
      </c>
      <c r="CA50" s="242">
        <f t="shared" si="147"/>
        <v>0</v>
      </c>
      <c r="CB50" s="453">
        <f>IF(CA50&gt;0,SQRT(AG50+AO50+AW50+BD50+BS50)/CA50,0)</f>
        <v>0</v>
      </c>
      <c r="CC50" s="45">
        <f t="shared" si="50"/>
        <v>0</v>
      </c>
    </row>
    <row r="51" spans="1:155" ht="15.4">
      <c r="B51" s="283" t="s">
        <v>230</v>
      </c>
      <c r="C51" s="284"/>
      <c r="D51" s="284"/>
      <c r="E51" s="456"/>
      <c r="F51" s="456"/>
      <c r="G51" s="456"/>
      <c r="H51" s="456"/>
      <c r="I51" s="456"/>
      <c r="J51" s="456"/>
      <c r="K51" s="456"/>
      <c r="L51" s="456"/>
      <c r="M51" s="456"/>
      <c r="N51" s="456"/>
      <c r="O51" s="456"/>
      <c r="P51" s="456"/>
      <c r="Q51" s="456"/>
      <c r="R51" s="456"/>
      <c r="S51" s="456"/>
      <c r="T51" s="456"/>
      <c r="U51" s="456"/>
      <c r="V51" s="456"/>
      <c r="W51" s="456"/>
      <c r="X51" s="458"/>
      <c r="Y51" s="456"/>
      <c r="Z51" s="456"/>
      <c r="AA51" s="456"/>
      <c r="AB51" s="460"/>
      <c r="AC51" s="456"/>
      <c r="AD51" s="461"/>
      <c r="AE51" s="462">
        <f>SUM(AE47:AE50)</f>
        <v>0</v>
      </c>
      <c r="AF51" s="463">
        <f>IF(AE51&gt;0,SQRT(SUM(AG47:AG50))/AE51,0)</f>
        <v>0</v>
      </c>
      <c r="AG51" s="462">
        <f t="shared" si="131"/>
        <v>0</v>
      </c>
      <c r="AH51" s="464"/>
      <c r="AI51" s="456"/>
      <c r="AJ51" s="465"/>
      <c r="AK51" s="456"/>
      <c r="AL51" s="466"/>
      <c r="AM51" s="462">
        <f>SUM(AM47:AM50)</f>
        <v>0</v>
      </c>
      <c r="AN51" s="463">
        <f>IF(AM51&gt;0,SQRT(SUM(AO47:AO50))/AM51,0)</f>
        <v>0</v>
      </c>
      <c r="AO51" s="462">
        <f t="shared" si="134"/>
        <v>0</v>
      </c>
      <c r="AP51" s="456"/>
      <c r="AQ51" s="456"/>
      <c r="AR51" s="465"/>
      <c r="AS51" s="456"/>
      <c r="AT51" s="456"/>
      <c r="AU51" s="462">
        <f>SUM(AU47:AU50)</f>
        <v>0</v>
      </c>
      <c r="AV51" s="463">
        <f>IF(AU51&gt;0,SQRT(SUM(AW47:AW50))/AU51,0)</f>
        <v>0</v>
      </c>
      <c r="AW51" s="462">
        <f t="shared" si="136"/>
        <v>0</v>
      </c>
      <c r="AX51" s="456"/>
      <c r="AY51" s="456"/>
      <c r="AZ51" s="465"/>
      <c r="BA51" s="456"/>
      <c r="BB51" s="462">
        <f>SUM(BB47:BB50)</f>
        <v>0</v>
      </c>
      <c r="BC51" s="463">
        <f>IF(BB51&gt;0,SQRT(SUM(BD47:BD50))/BB51,0)</f>
        <v>0</v>
      </c>
      <c r="BD51" s="462">
        <f t="shared" si="139"/>
        <v>0</v>
      </c>
      <c r="BE51" s="456"/>
      <c r="BF51" s="456"/>
      <c r="BG51" s="465"/>
      <c r="BH51" s="456"/>
      <c r="BI51" s="462">
        <f>SUM(BI47:BI50)</f>
        <v>0</v>
      </c>
      <c r="BJ51" s="463">
        <f>IF(BI51&gt;0,SQRT(SUM(BK47:BK50))/BI51,0)</f>
        <v>0</v>
      </c>
      <c r="BK51" s="462">
        <f t="shared" si="142"/>
        <v>0</v>
      </c>
      <c r="BL51" s="456"/>
      <c r="BM51" s="456"/>
      <c r="BN51" s="460"/>
      <c r="BO51" s="467"/>
      <c r="BP51" s="468"/>
      <c r="BQ51" s="462">
        <f>SUM(BQ47:BQ50)</f>
        <v>0</v>
      </c>
      <c r="BR51" s="463">
        <f>IF(BQ51&gt;0,SQRT(SUM(BS47:BS50))/BQ51,0)</f>
        <v>0</v>
      </c>
      <c r="BS51" s="462">
        <f t="shared" si="145"/>
        <v>0</v>
      </c>
      <c r="BT51" s="456"/>
      <c r="BU51" s="456"/>
      <c r="BV51" s="460"/>
      <c r="BW51" s="467"/>
      <c r="BX51" s="462">
        <f>SUM(BX47:BX50)</f>
        <v>0</v>
      </c>
      <c r="BY51" s="463">
        <f>IF(BX51&gt;0,SQRT(SUM(BZ47:BZ50))/BX51,0)</f>
        <v>0</v>
      </c>
      <c r="BZ51" s="462">
        <f t="shared" si="146"/>
        <v>0</v>
      </c>
      <c r="CA51" s="462">
        <f>SUM(CA47:CA50)</f>
        <v>0</v>
      </c>
      <c r="CB51" s="463">
        <f>IF(CA51&gt;0,SQRT(SUM(CC47:CC50))/CA51,0)</f>
        <v>0</v>
      </c>
      <c r="CC51" s="45">
        <f t="shared" si="50"/>
        <v>0</v>
      </c>
    </row>
    <row r="52" spans="1:155" ht="15.4">
      <c r="B52" s="253" t="s">
        <v>242</v>
      </c>
      <c r="C52" s="254"/>
      <c r="D52" s="254"/>
      <c r="E52" s="255"/>
      <c r="F52" s="255"/>
      <c r="G52" s="255"/>
      <c r="H52" s="255"/>
      <c r="I52" s="255"/>
      <c r="J52" s="255"/>
      <c r="K52" s="255"/>
      <c r="L52" s="255"/>
      <c r="M52" s="255"/>
      <c r="N52" s="255"/>
      <c r="O52" s="255"/>
      <c r="P52" s="255"/>
      <c r="Q52" s="255"/>
      <c r="R52" s="255"/>
      <c r="S52" s="255"/>
      <c r="T52" s="255"/>
      <c r="U52" s="255"/>
      <c r="V52" s="255"/>
      <c r="W52" s="255"/>
      <c r="X52" s="257"/>
      <c r="Y52" s="255"/>
      <c r="Z52" s="255"/>
      <c r="AA52" s="255"/>
      <c r="AB52" s="258"/>
      <c r="AC52" s="255"/>
      <c r="AD52" s="259"/>
      <c r="AE52" s="260">
        <f>+AE46+AE51</f>
        <v>0</v>
      </c>
      <c r="AF52" s="261">
        <f>IF(AE52&gt;0,(SQRT(AG46+AG51))/AE52,0)</f>
        <v>0</v>
      </c>
      <c r="AG52" s="260">
        <f t="shared" si="131"/>
        <v>0</v>
      </c>
      <c r="AH52" s="262"/>
      <c r="AI52" s="255"/>
      <c r="AJ52" s="263"/>
      <c r="AK52" s="255"/>
      <c r="AL52" s="264"/>
      <c r="AM52" s="260">
        <f>+AM46+AM51</f>
        <v>0</v>
      </c>
      <c r="AN52" s="261">
        <f>IF(AM52&gt;0,(SQRT(AO46+AO51))/AM52,0)</f>
        <v>0</v>
      </c>
      <c r="AO52" s="260">
        <f t="shared" si="134"/>
        <v>0</v>
      </c>
      <c r="AP52" s="255"/>
      <c r="AQ52" s="255"/>
      <c r="AR52" s="263"/>
      <c r="AS52" s="255"/>
      <c r="AT52" s="255"/>
      <c r="AU52" s="260">
        <f>+AU46+AU51</f>
        <v>0</v>
      </c>
      <c r="AV52" s="261">
        <f>IF(AU52&gt;0,(SQRT(AW46+AW51))/AU52,0)</f>
        <v>0</v>
      </c>
      <c r="AW52" s="260">
        <f t="shared" si="136"/>
        <v>0</v>
      </c>
      <c r="AX52" s="255"/>
      <c r="AY52" s="255"/>
      <c r="AZ52" s="263"/>
      <c r="BA52" s="255"/>
      <c r="BB52" s="260">
        <f>+BB46+BB51</f>
        <v>0</v>
      </c>
      <c r="BC52" s="261">
        <f>IF(BB52&gt;0,(SQRT(BD46+BD51))/BB52,0)</f>
        <v>0</v>
      </c>
      <c r="BD52" s="260">
        <f t="shared" si="139"/>
        <v>0</v>
      </c>
      <c r="BE52" s="255"/>
      <c r="BF52" s="255"/>
      <c r="BG52" s="263"/>
      <c r="BH52" s="255"/>
      <c r="BI52" s="260">
        <f>+BI46+BI51</f>
        <v>0</v>
      </c>
      <c r="BJ52" s="261">
        <f>IF(BI52&gt;0,(SQRT(BK46+BK51))/BI52,0)</f>
        <v>0</v>
      </c>
      <c r="BK52" s="260">
        <f t="shared" si="142"/>
        <v>0</v>
      </c>
      <c r="BL52" s="255"/>
      <c r="BM52" s="255"/>
      <c r="BN52" s="258"/>
      <c r="BO52" s="265"/>
      <c r="BP52" s="266"/>
      <c r="BQ52" s="260">
        <f>+BQ46+BQ51</f>
        <v>0</v>
      </c>
      <c r="BR52" s="261">
        <f>IF(BQ52&gt;0,(SQRT(BS46+BS51))/BQ52,0)</f>
        <v>0</v>
      </c>
      <c r="BS52" s="260">
        <f t="shared" si="145"/>
        <v>0</v>
      </c>
      <c r="BT52" s="255"/>
      <c r="BU52" s="255"/>
      <c r="BV52" s="258"/>
      <c r="BW52" s="265"/>
      <c r="BX52" s="260">
        <f>+BX46+BX51</f>
        <v>0</v>
      </c>
      <c r="BY52" s="261">
        <f>IF(BX52&gt;0,(SQRT(BZ46+BZ51))/BX52,0)</f>
        <v>0</v>
      </c>
      <c r="BZ52" s="260">
        <f t="shared" si="146"/>
        <v>0</v>
      </c>
      <c r="CA52" s="260">
        <f>+CA46+CA51</f>
        <v>0</v>
      </c>
      <c r="CB52" s="267">
        <f>IF(CA52&gt;0,(SQRT(CC46+CC51))/CA52,0)</f>
        <v>0</v>
      </c>
      <c r="CC52" s="45">
        <f t="shared" si="50"/>
        <v>0</v>
      </c>
    </row>
    <row r="53" spans="1:155" s="19" customFormat="1" ht="15.4">
      <c r="B53" s="268"/>
      <c r="C53" s="269"/>
      <c r="D53" s="269"/>
      <c r="E53" s="270"/>
      <c r="F53" s="270"/>
      <c r="G53" s="270"/>
      <c r="H53" s="270"/>
      <c r="I53" s="270"/>
      <c r="J53" s="270"/>
      <c r="K53" s="270"/>
      <c r="L53" s="270"/>
      <c r="M53" s="270"/>
      <c r="N53" s="270"/>
      <c r="O53" s="270"/>
      <c r="P53" s="270"/>
      <c r="Q53" s="270"/>
      <c r="R53" s="270"/>
      <c r="S53" s="270"/>
      <c r="T53" s="270"/>
      <c r="U53" s="270"/>
      <c r="V53" s="270"/>
      <c r="W53" s="270"/>
      <c r="X53" s="271"/>
      <c r="Y53" s="270"/>
      <c r="Z53" s="270"/>
      <c r="AA53" s="270"/>
      <c r="AB53" s="272"/>
      <c r="AC53" s="270"/>
      <c r="AD53" s="273"/>
      <c r="AE53" s="274"/>
      <c r="AF53" s="275"/>
      <c r="AG53" s="274"/>
      <c r="AH53" s="276"/>
      <c r="AI53" s="270"/>
      <c r="AJ53" s="277"/>
      <c r="AK53" s="270"/>
      <c r="AL53" s="278"/>
      <c r="AM53" s="274"/>
      <c r="AN53" s="275"/>
      <c r="AO53" s="274"/>
      <c r="AP53" s="270"/>
      <c r="AQ53" s="270"/>
      <c r="AR53" s="277"/>
      <c r="AS53" s="270"/>
      <c r="AT53" s="270"/>
      <c r="AU53" s="274"/>
      <c r="AV53" s="275"/>
      <c r="AW53" s="274"/>
      <c r="AX53" s="270"/>
      <c r="AY53" s="270"/>
      <c r="AZ53" s="277"/>
      <c r="BA53" s="270"/>
      <c r="BB53" s="274"/>
      <c r="BC53" s="275"/>
      <c r="BD53" s="274"/>
      <c r="BE53" s="270"/>
      <c r="BF53" s="270"/>
      <c r="BG53" s="277"/>
      <c r="BH53" s="270"/>
      <c r="BI53" s="274"/>
      <c r="BJ53" s="275"/>
      <c r="BK53" s="274"/>
      <c r="BL53" s="270"/>
      <c r="BM53" s="270"/>
      <c r="BN53" s="272"/>
      <c r="BO53" s="279"/>
      <c r="BP53" s="280"/>
      <c r="BQ53" s="274"/>
      <c r="BR53" s="275"/>
      <c r="BS53" s="274"/>
      <c r="BT53" s="270"/>
      <c r="BU53" s="270"/>
      <c r="BV53" s="272"/>
      <c r="BW53" s="279"/>
      <c r="BX53" s="274"/>
      <c r="BY53" s="275"/>
      <c r="BZ53" s="274"/>
      <c r="CA53" s="274"/>
      <c r="CB53" s="281"/>
      <c r="CC53" s="45"/>
      <c r="CD53" s="59"/>
      <c r="CE53" s="21"/>
      <c r="CF53" s="21"/>
      <c r="CG53" s="21"/>
      <c r="CH53" s="60"/>
      <c r="CI53" s="60"/>
      <c r="CJ53" s="60"/>
      <c r="CK53" s="21"/>
      <c r="CL53" s="21"/>
      <c r="CM53" s="21"/>
      <c r="CN53" s="21"/>
      <c r="CO53" s="21"/>
      <c r="CP53" s="21"/>
      <c r="CQ53" s="21"/>
      <c r="CR53" s="21"/>
      <c r="CS53" s="21"/>
      <c r="CT53" s="21"/>
      <c r="CU53" s="21"/>
      <c r="CV53" s="21"/>
      <c r="CW53" s="20"/>
      <c r="CX53" s="21"/>
      <c r="CY53" s="21"/>
      <c r="CZ53" s="20"/>
      <c r="DA53" s="20"/>
      <c r="DB53" s="20"/>
      <c r="DC53" s="20"/>
      <c r="DD53" s="21"/>
      <c r="DE53" s="21"/>
      <c r="DF53" s="20"/>
      <c r="DG53" s="20"/>
      <c r="DH53" s="20"/>
      <c r="DI53" s="22"/>
      <c r="DJ53" s="23"/>
      <c r="DK53" s="23"/>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5"/>
      <c r="ES53" s="25"/>
      <c r="ET53" s="25"/>
      <c r="EU53" s="25"/>
      <c r="EV53" s="25"/>
      <c r="EW53" s="25"/>
      <c r="EX53" s="25"/>
      <c r="EY53" s="25"/>
    </row>
    <row r="54" spans="1:155" s="36" customFormat="1" ht="25.5" customHeight="1">
      <c r="A54" s="19"/>
      <c r="B54" s="537" t="s">
        <v>243</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8"/>
      <c r="BH54" s="538"/>
      <c r="BI54" s="538"/>
      <c r="BJ54" s="538"/>
      <c r="BK54" s="538"/>
      <c r="BL54" s="538"/>
      <c r="BM54" s="538"/>
      <c r="BN54" s="538"/>
      <c r="BO54" s="538"/>
      <c r="BP54" s="538"/>
      <c r="BQ54" s="538"/>
      <c r="BR54" s="538"/>
      <c r="BS54" s="538"/>
      <c r="BT54" s="538"/>
      <c r="BU54" s="538"/>
      <c r="BV54" s="538"/>
      <c r="BW54" s="538"/>
      <c r="BX54" s="538"/>
      <c r="BY54" s="538"/>
      <c r="BZ54" s="538"/>
      <c r="CA54" s="538"/>
      <c r="CB54" s="539"/>
      <c r="CC54" s="45"/>
      <c r="CE54" s="46"/>
      <c r="CF54" s="46"/>
      <c r="CG54" s="46"/>
      <c r="CH54" s="47"/>
      <c r="CI54" s="47"/>
      <c r="CJ54" s="47"/>
      <c r="CK54" s="46"/>
      <c r="CL54" s="46"/>
      <c r="CM54" s="46"/>
      <c r="CN54" s="46"/>
      <c r="CO54" s="46"/>
      <c r="CP54" s="46"/>
      <c r="CQ54" s="46"/>
      <c r="CR54" s="46"/>
      <c r="CS54" s="46"/>
      <c r="CT54" s="46"/>
      <c r="CU54" s="46"/>
      <c r="CV54" s="46"/>
      <c r="CW54" s="48"/>
      <c r="CX54" s="46"/>
      <c r="CY54" s="46"/>
      <c r="CZ54" s="48"/>
      <c r="DA54" s="48"/>
      <c r="DB54" s="48"/>
      <c r="DC54" s="48"/>
      <c r="DD54" s="46"/>
      <c r="DE54" s="46"/>
      <c r="DF54" s="48"/>
      <c r="DG54" s="48"/>
      <c r="DH54" s="48"/>
      <c r="DI54" s="49"/>
      <c r="DJ54" s="50"/>
      <c r="DK54" s="50"/>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37"/>
      <c r="EO54" s="37"/>
      <c r="EP54" s="37"/>
      <c r="EQ54" s="37"/>
      <c r="ER54" s="38"/>
      <c r="ES54" s="38"/>
      <c r="ET54" s="38"/>
      <c r="EU54" s="38"/>
      <c r="EV54" s="38"/>
      <c r="EW54" s="38"/>
      <c r="EX54" s="38"/>
      <c r="EY54" s="38"/>
    </row>
    <row r="55" spans="1:155" s="36" customFormat="1" ht="49.5" customHeight="1">
      <c r="A55" s="19"/>
      <c r="B55" s="546" t="s">
        <v>157</v>
      </c>
      <c r="C55" s="544" t="s">
        <v>158</v>
      </c>
      <c r="D55" s="544" t="s">
        <v>159</v>
      </c>
      <c r="E55" s="540" t="s">
        <v>160</v>
      </c>
      <c r="F55" s="540" t="s">
        <v>161</v>
      </c>
      <c r="G55" s="540"/>
      <c r="H55" s="540"/>
      <c r="I55" s="540"/>
      <c r="J55" s="540"/>
      <c r="K55" s="540"/>
      <c r="L55" s="540"/>
      <c r="M55" s="540"/>
      <c r="N55" s="540"/>
      <c r="O55" s="540"/>
      <c r="P55" s="540"/>
      <c r="Q55" s="540"/>
      <c r="R55" s="540"/>
      <c r="S55" s="540"/>
      <c r="T55" s="540"/>
      <c r="U55" s="540" t="s">
        <v>162</v>
      </c>
      <c r="V55" s="540"/>
      <c r="W55" s="540"/>
      <c r="X55" s="540"/>
      <c r="Y55" s="540"/>
      <c r="Z55" s="541" t="s">
        <v>163</v>
      </c>
      <c r="AA55" s="541"/>
      <c r="AB55" s="541"/>
      <c r="AC55" s="541"/>
      <c r="AD55" s="541"/>
      <c r="AE55" s="541"/>
      <c r="AF55" s="541"/>
      <c r="AG55" s="541"/>
      <c r="AH55" s="541" t="s">
        <v>164</v>
      </c>
      <c r="AI55" s="541"/>
      <c r="AJ55" s="541"/>
      <c r="AK55" s="541"/>
      <c r="AL55" s="541"/>
      <c r="AM55" s="541"/>
      <c r="AN55" s="541"/>
      <c r="AO55" s="541"/>
      <c r="AP55" s="541" t="s">
        <v>165</v>
      </c>
      <c r="AQ55" s="541"/>
      <c r="AR55" s="541"/>
      <c r="AS55" s="541"/>
      <c r="AT55" s="541"/>
      <c r="AU55" s="541"/>
      <c r="AV55" s="541"/>
      <c r="AW55" s="541"/>
      <c r="AX55" s="541" t="s">
        <v>166</v>
      </c>
      <c r="AY55" s="541"/>
      <c r="AZ55" s="541"/>
      <c r="BA55" s="541"/>
      <c r="BB55" s="541"/>
      <c r="BC55" s="541"/>
      <c r="BD55" s="541"/>
      <c r="BE55" s="541" t="s">
        <v>167</v>
      </c>
      <c r="BF55" s="541"/>
      <c r="BG55" s="541"/>
      <c r="BH55" s="541"/>
      <c r="BI55" s="541"/>
      <c r="BJ55" s="541"/>
      <c r="BK55" s="541"/>
      <c r="BL55" s="541" t="s">
        <v>168</v>
      </c>
      <c r="BM55" s="541"/>
      <c r="BN55" s="541"/>
      <c r="BO55" s="541"/>
      <c r="BP55" s="541"/>
      <c r="BQ55" s="541"/>
      <c r="BR55" s="541"/>
      <c r="BS55" s="541"/>
      <c r="BT55" s="541" t="s">
        <v>169</v>
      </c>
      <c r="BU55" s="541"/>
      <c r="BV55" s="541"/>
      <c r="BW55" s="541"/>
      <c r="BX55" s="541"/>
      <c r="BY55" s="541"/>
      <c r="BZ55" s="541"/>
      <c r="CA55" s="542" t="s">
        <v>244</v>
      </c>
      <c r="CB55" s="543" t="s">
        <v>41</v>
      </c>
      <c r="CC55" s="45"/>
      <c r="CE55" s="46"/>
      <c r="CF55" s="46"/>
      <c r="CG55" s="46"/>
      <c r="CH55" s="47"/>
      <c r="CI55" s="47"/>
      <c r="CJ55" s="47"/>
      <c r="CK55" s="46"/>
      <c r="CL55" s="46"/>
      <c r="CM55" s="46"/>
      <c r="CN55" s="46"/>
      <c r="CO55" s="46"/>
      <c r="CP55" s="46"/>
      <c r="CQ55" s="46"/>
      <c r="CR55" s="46"/>
      <c r="CS55" s="46"/>
      <c r="CT55" s="46"/>
      <c r="CU55" s="46"/>
      <c r="CV55" s="46"/>
      <c r="CW55" s="48"/>
      <c r="CX55" s="46"/>
      <c r="CY55" s="46"/>
      <c r="CZ55" s="48"/>
      <c r="DA55" s="48"/>
      <c r="DB55" s="48"/>
      <c r="DC55" s="48"/>
      <c r="DD55" s="46"/>
      <c r="DE55" s="46"/>
      <c r="DF55" s="48"/>
      <c r="DG55" s="48"/>
      <c r="DH55" s="48"/>
      <c r="DI55" s="49"/>
      <c r="DJ55" s="50"/>
      <c r="DK55" s="50"/>
      <c r="DL55" s="37"/>
      <c r="DM55" s="37"/>
      <c r="DN55" s="37"/>
      <c r="DO55" s="37"/>
      <c r="DP55" s="37"/>
      <c r="DQ55" s="37"/>
      <c r="DR55" s="37"/>
      <c r="DS55" s="37"/>
      <c r="DT55" s="37"/>
      <c r="DU55" s="37"/>
      <c r="DV55" s="37"/>
      <c r="DW55" s="37"/>
      <c r="DX55" s="37"/>
      <c r="DY55" s="37"/>
      <c r="DZ55" s="37"/>
      <c r="EA55" s="37"/>
      <c r="EB55" s="37"/>
      <c r="EC55" s="37"/>
      <c r="ED55" s="37"/>
      <c r="EE55" s="37"/>
      <c r="EF55" s="37"/>
      <c r="EG55" s="37"/>
      <c r="EH55" s="37"/>
      <c r="EI55" s="37"/>
      <c r="EJ55" s="37"/>
      <c r="EK55" s="37"/>
      <c r="EL55" s="37"/>
      <c r="EM55" s="37"/>
      <c r="EN55" s="37"/>
      <c r="EO55" s="37"/>
      <c r="EP55" s="37"/>
      <c r="EQ55" s="37"/>
      <c r="ER55" s="38"/>
      <c r="ES55" s="38"/>
      <c r="ET55" s="38"/>
      <c r="EU55" s="38"/>
      <c r="EV55" s="38"/>
      <c r="EW55" s="38"/>
      <c r="EX55" s="38"/>
      <c r="EY55" s="38"/>
    </row>
    <row r="56" spans="1:155" s="36" customFormat="1" ht="75" customHeight="1">
      <c r="A56" s="19"/>
      <c r="B56" s="547"/>
      <c r="C56" s="545"/>
      <c r="D56" s="545"/>
      <c r="E56" s="540"/>
      <c r="F56" s="444" t="s">
        <v>171</v>
      </c>
      <c r="G56" s="444" t="s">
        <v>172</v>
      </c>
      <c r="H56" s="444" t="s">
        <v>173</v>
      </c>
      <c r="I56" s="444" t="s">
        <v>174</v>
      </c>
      <c r="J56" s="444" t="s">
        <v>175</v>
      </c>
      <c r="K56" s="444" t="s">
        <v>176</v>
      </c>
      <c r="L56" s="444" t="s">
        <v>177</v>
      </c>
      <c r="M56" s="444" t="s">
        <v>178</v>
      </c>
      <c r="N56" s="444" t="s">
        <v>179</v>
      </c>
      <c r="O56" s="444" t="s">
        <v>180</v>
      </c>
      <c r="P56" s="444" t="s">
        <v>181</v>
      </c>
      <c r="Q56" s="444" t="s">
        <v>182</v>
      </c>
      <c r="R56" s="444" t="s">
        <v>183</v>
      </c>
      <c r="S56" s="444" t="s">
        <v>184</v>
      </c>
      <c r="T56" s="444" t="s">
        <v>185</v>
      </c>
      <c r="U56" s="444" t="s">
        <v>186</v>
      </c>
      <c r="V56" s="444" t="s">
        <v>187</v>
      </c>
      <c r="W56" s="444" t="s">
        <v>188</v>
      </c>
      <c r="X56" s="445" t="s">
        <v>189</v>
      </c>
      <c r="Y56" s="237" t="s">
        <v>162</v>
      </c>
      <c r="Z56" s="542" t="s">
        <v>190</v>
      </c>
      <c r="AA56" s="542"/>
      <c r="AB56" s="446" t="s">
        <v>191</v>
      </c>
      <c r="AC56" s="444" t="s">
        <v>192</v>
      </c>
      <c r="AD56" s="447" t="s">
        <v>193</v>
      </c>
      <c r="AE56" s="447" t="s">
        <v>193</v>
      </c>
      <c r="AF56" s="237" t="s">
        <v>194</v>
      </c>
      <c r="AG56" s="447" t="s">
        <v>195</v>
      </c>
      <c r="AH56" s="542" t="s">
        <v>196</v>
      </c>
      <c r="AI56" s="542"/>
      <c r="AJ56" s="446" t="s">
        <v>191</v>
      </c>
      <c r="AK56" s="237" t="s">
        <v>197</v>
      </c>
      <c r="AL56" s="448" t="s">
        <v>198</v>
      </c>
      <c r="AM56" s="448" t="s">
        <v>199</v>
      </c>
      <c r="AN56" s="237" t="s">
        <v>200</v>
      </c>
      <c r="AO56" s="447" t="s">
        <v>195</v>
      </c>
      <c r="AP56" s="542" t="s">
        <v>201</v>
      </c>
      <c r="AQ56" s="542"/>
      <c r="AR56" s="446" t="s">
        <v>191</v>
      </c>
      <c r="AS56" s="237" t="s">
        <v>202</v>
      </c>
      <c r="AT56" s="444" t="s">
        <v>203</v>
      </c>
      <c r="AU56" s="444" t="s">
        <v>204</v>
      </c>
      <c r="AV56" s="237" t="s">
        <v>205</v>
      </c>
      <c r="AW56" s="447" t="s">
        <v>195</v>
      </c>
      <c r="AX56" s="542" t="s">
        <v>206</v>
      </c>
      <c r="AY56" s="542"/>
      <c r="AZ56" s="446" t="s">
        <v>191</v>
      </c>
      <c r="BA56" s="237" t="s">
        <v>207</v>
      </c>
      <c r="BB56" s="447" t="s">
        <v>233</v>
      </c>
      <c r="BC56" s="237" t="s">
        <v>209</v>
      </c>
      <c r="BD56" s="447" t="s">
        <v>195</v>
      </c>
      <c r="BE56" s="542" t="s">
        <v>210</v>
      </c>
      <c r="BF56" s="542"/>
      <c r="BG56" s="446" t="s">
        <v>191</v>
      </c>
      <c r="BH56" s="237" t="s">
        <v>245</v>
      </c>
      <c r="BI56" s="447" t="s">
        <v>234</v>
      </c>
      <c r="BJ56" s="237" t="s">
        <v>213</v>
      </c>
      <c r="BK56" s="447" t="s">
        <v>195</v>
      </c>
      <c r="BL56" s="542" t="s">
        <v>214</v>
      </c>
      <c r="BM56" s="542"/>
      <c r="BN56" s="446" t="s">
        <v>191</v>
      </c>
      <c r="BO56" s="237" t="s">
        <v>215</v>
      </c>
      <c r="BP56" s="447" t="s">
        <v>235</v>
      </c>
      <c r="BQ56" s="447" t="s">
        <v>236</v>
      </c>
      <c r="BR56" s="237" t="s">
        <v>218</v>
      </c>
      <c r="BS56" s="447" t="s">
        <v>195</v>
      </c>
      <c r="BT56" s="542" t="s">
        <v>219</v>
      </c>
      <c r="BU56" s="542"/>
      <c r="BV56" s="446" t="s">
        <v>191</v>
      </c>
      <c r="BW56" s="237" t="s">
        <v>220</v>
      </c>
      <c r="BX56" s="447" t="s">
        <v>237</v>
      </c>
      <c r="BY56" s="237" t="s">
        <v>222</v>
      </c>
      <c r="BZ56" s="447" t="s">
        <v>195</v>
      </c>
      <c r="CA56" s="542"/>
      <c r="CB56" s="543"/>
      <c r="CC56" s="45" t="s">
        <v>223</v>
      </c>
      <c r="CE56" s="46"/>
      <c r="CF56" s="46"/>
      <c r="CG56" s="46"/>
      <c r="CH56" s="47"/>
      <c r="CI56" s="47"/>
      <c r="CJ56" s="47"/>
      <c r="CK56" s="46"/>
      <c r="CL56" s="46"/>
      <c r="CM56" s="46"/>
      <c r="CN56" s="46"/>
      <c r="CO56" s="46"/>
      <c r="CP56" s="46"/>
      <c r="CQ56" s="46"/>
      <c r="CR56" s="46"/>
      <c r="CS56" s="46"/>
      <c r="CT56" s="46"/>
      <c r="CU56" s="46"/>
      <c r="CV56" s="46"/>
      <c r="CW56" s="48"/>
      <c r="CX56" s="46"/>
      <c r="CY56" s="46"/>
      <c r="CZ56" s="48"/>
      <c r="DA56" s="48"/>
      <c r="DB56" s="48"/>
      <c r="DC56" s="48"/>
      <c r="DD56" s="46"/>
      <c r="DE56" s="46"/>
      <c r="DF56" s="48"/>
      <c r="DG56" s="48"/>
      <c r="DH56" s="48"/>
      <c r="DI56" s="49"/>
      <c r="DJ56" s="50"/>
      <c r="DK56" s="50"/>
      <c r="DL56" s="37"/>
      <c r="DM56" s="37"/>
      <c r="DN56" s="37"/>
      <c r="DO56" s="37"/>
      <c r="DP56" s="37"/>
      <c r="DQ56" s="37"/>
      <c r="DR56" s="37"/>
      <c r="DS56" s="37"/>
      <c r="DT56" s="37"/>
      <c r="DU56" s="37"/>
      <c r="DV56" s="37"/>
      <c r="DW56" s="37"/>
      <c r="DX56" s="37"/>
      <c r="DY56" s="37"/>
      <c r="DZ56" s="37"/>
      <c r="EA56" s="37"/>
      <c r="EB56" s="37"/>
      <c r="EC56" s="37"/>
      <c r="ED56" s="37"/>
      <c r="EE56" s="37"/>
      <c r="EF56" s="37"/>
      <c r="EG56" s="37"/>
      <c r="EH56" s="37"/>
      <c r="EI56" s="37"/>
      <c r="EJ56" s="37"/>
      <c r="EK56" s="37"/>
      <c r="EL56" s="37"/>
      <c r="EM56" s="37"/>
      <c r="EN56" s="37"/>
      <c r="EO56" s="37"/>
      <c r="EP56" s="37"/>
      <c r="EQ56" s="37"/>
      <c r="ER56" s="38"/>
      <c r="ES56" s="38"/>
      <c r="ET56" s="38"/>
      <c r="EU56" s="38"/>
      <c r="EV56" s="38"/>
      <c r="EW56" s="38"/>
      <c r="EX56" s="38"/>
      <c r="EY56" s="38"/>
    </row>
    <row r="57" spans="1:155" ht="15" customHeight="1">
      <c r="B57" s="238" t="s">
        <v>246</v>
      </c>
      <c r="C57" s="239"/>
      <c r="D57" s="239"/>
      <c r="E57" s="252"/>
      <c r="F57" s="241">
        <f t="shared" ref="F57:F62" si="148">VLOOKUP($E57,$CD$138:$DH$504,2,FALSE)</f>
        <v>0</v>
      </c>
      <c r="G57" s="239"/>
      <c r="H57" s="239"/>
      <c r="I57" s="239"/>
      <c r="J57" s="239"/>
      <c r="K57" s="239"/>
      <c r="L57" s="239"/>
      <c r="M57" s="239"/>
      <c r="N57" s="239"/>
      <c r="O57" s="239"/>
      <c r="P57" s="239"/>
      <c r="Q57" s="239"/>
      <c r="R57" s="239"/>
      <c r="S57" s="242">
        <f t="shared" ref="S57:S62" si="149">SUM(G57:R57)</f>
        <v>0</v>
      </c>
      <c r="T57" s="243">
        <f t="shared" ref="T57:T62" si="150">COUNT(G57:R57)</f>
        <v>0</v>
      </c>
      <c r="U57" s="242">
        <f t="shared" ref="U57:U62" si="151">IF(T57&gt;1,AVERAGE(G57:R57),0)</f>
        <v>0</v>
      </c>
      <c r="V57" s="242">
        <f t="shared" ref="V57:V62" si="152">IF(T57&gt;1,STDEV(G57:R57),0)</f>
        <v>0</v>
      </c>
      <c r="W57" s="242">
        <f t="shared" ref="W57:W62" si="153">IF(T57&gt;1,VLOOKUP($T57,$CD$414:$CE$426,2,FALSE),0)</f>
        <v>0</v>
      </c>
      <c r="X57" s="244"/>
      <c r="Y57" s="449">
        <f t="shared" ref="Y57:Y62" si="154">IF(X57&gt;0,X57,IF(T57&gt;1,1-((U57-((V57*W57)/(SQRT(T57))))/U57),VLOOKUP($E57,$CD$138:$DK$504,34,FALSE)))</f>
        <v>0</v>
      </c>
      <c r="Z57" s="245">
        <v>0</v>
      </c>
      <c r="AA57" s="246">
        <v>0</v>
      </c>
      <c r="AB57" s="450">
        <v>0</v>
      </c>
      <c r="AC57" s="449">
        <v>0</v>
      </c>
      <c r="AD57" s="451">
        <f t="shared" ref="AD57:AD62" si="155">($S57*Z57)/1000</f>
        <v>0</v>
      </c>
      <c r="AE57" s="451">
        <f t="shared" ref="AE57:AE62" si="156">AD57*$CE$432</f>
        <v>0</v>
      </c>
      <c r="AF57" s="449">
        <f t="shared" ref="AF57:AF62" si="157">IF(AD57&gt;0,SQRT(($Y57*$Y57)+(AC57*AC57)),0)</f>
        <v>0</v>
      </c>
      <c r="AG57" s="451">
        <f t="shared" ref="AG57:AG62" si="158">(AE57*AF57)^2</f>
        <v>0</v>
      </c>
      <c r="AH57" s="250">
        <v>0</v>
      </c>
      <c r="AI57" s="246">
        <v>0</v>
      </c>
      <c r="AJ57" s="450">
        <v>0</v>
      </c>
      <c r="AK57" s="449">
        <v>0</v>
      </c>
      <c r="AL57" s="452">
        <f t="shared" ref="AL57:AL62" si="159">($S57*AH57)/1000</f>
        <v>0</v>
      </c>
      <c r="AM57" s="452">
        <f t="shared" ref="AM57:AM62" si="160">AL57*$CE$433</f>
        <v>0</v>
      </c>
      <c r="AN57" s="449">
        <f t="shared" ref="AN57:AN62" si="161">IF(AL57&gt;0,SQRT(($Y57*$Y57)+(AK57*AK57)),0)</f>
        <v>0</v>
      </c>
      <c r="AO57" s="451">
        <f t="shared" ref="AO57:AO62" si="162">(AM57*AN57)^2</f>
        <v>0</v>
      </c>
      <c r="AP57" s="250">
        <v>0</v>
      </c>
      <c r="AQ57" s="246">
        <f>VLOOKUP($E57,$CD$138:$DH$504,28,FALSE)</f>
        <v>0</v>
      </c>
      <c r="AR57" s="450">
        <v>0</v>
      </c>
      <c r="AS57" s="449">
        <v>0</v>
      </c>
      <c r="AT57" s="452">
        <f t="shared" ref="AT57:AT62" si="163">($S57*AP57)/1000</f>
        <v>0</v>
      </c>
      <c r="AU57" s="452">
        <f t="shared" ref="AU57:AU62" si="164">AT57*$CE$434</f>
        <v>0</v>
      </c>
      <c r="AV57" s="449">
        <f t="shared" ref="AV57:AV62" si="165">IF(AT57&gt;0,SQRT(($Y57*$Y57)+(AS57*AS57)),0)</f>
        <v>0</v>
      </c>
      <c r="AW57" s="451">
        <f t="shared" ref="AW57:AW62" si="166">(AU57*AV57)^2</f>
        <v>0</v>
      </c>
      <c r="AX57" s="248">
        <f>VLOOKUP($E57,$CD$138:$DH$504,3,FALSE)</f>
        <v>0</v>
      </c>
      <c r="AY57" s="246">
        <f t="shared" ref="AY57:AY62" si="167">VLOOKUP($E57,$CD$138:$DH$504,4,FALSE)</f>
        <v>0</v>
      </c>
      <c r="AZ57" s="450">
        <f t="shared" ref="AZ57:AZ62" si="168">IF($S57&gt;0,VLOOKUP($E57,$CD$138:$DH$504,7,FALSE),0)</f>
        <v>0</v>
      </c>
      <c r="BA57" s="449">
        <f t="shared" ref="BA57:BA62" si="169">IF($S57&gt;0,VLOOKUP($E57,$CD$138:$DH$504,6,FALSE),0)</f>
        <v>0</v>
      </c>
      <c r="BB57" s="452">
        <f t="shared" ref="BB57:BB62" si="170">($S57*AX57)/1000</f>
        <v>0</v>
      </c>
      <c r="BC57" s="449">
        <f t="shared" ref="BC57:BC62" si="171">IF(BB57&gt;0,SQRT(($Y57*$Y57)+(BA57*BA57)),0)</f>
        <v>0</v>
      </c>
      <c r="BD57" s="451">
        <f t="shared" ref="BD57:BD62" si="172">(BB57*BC57)^2</f>
        <v>0</v>
      </c>
      <c r="BE57" s="248">
        <v>0</v>
      </c>
      <c r="BF57" s="246">
        <f t="shared" ref="BF57:BF62" si="173">VLOOKUP($E57,$CD$138:$DH$504,4,FALSE)</f>
        <v>0</v>
      </c>
      <c r="BG57" s="450">
        <f t="shared" ref="BG57:BG62" si="174">IF($S57&gt;0,VLOOKUP($E57,$CD$138:$DH$504,7,FALSE),0)</f>
        <v>0</v>
      </c>
      <c r="BH57" s="449">
        <f t="shared" ref="BH57:BH62" si="175">IF($S57&gt;0,VLOOKUP($E57,$CD$138:$DH$504,6,FALSE),0)</f>
        <v>0</v>
      </c>
      <c r="BI57" s="452">
        <f t="shared" ref="BI57:BI62" si="176">($S57*BE57)/1000</f>
        <v>0</v>
      </c>
      <c r="BJ57" s="449">
        <f t="shared" ref="BJ57:BJ62" si="177">IF(BI57&gt;0,SQRT(($Y57*$Y57)+(BH57*BH57)),0)</f>
        <v>0</v>
      </c>
      <c r="BK57" s="451">
        <f t="shared" ref="BK57:BK72" si="178">(BI57*BJ57)^2</f>
        <v>0</v>
      </c>
      <c r="BL57" s="248">
        <v>0</v>
      </c>
      <c r="BM57" s="246">
        <v>0</v>
      </c>
      <c r="BN57" s="450">
        <v>0</v>
      </c>
      <c r="BO57" s="449">
        <v>0</v>
      </c>
      <c r="BP57" s="452">
        <f t="shared" ref="BP57:BP62" si="179">($S57*BL57)/1000</f>
        <v>0</v>
      </c>
      <c r="BQ57" s="452">
        <f t="shared" ref="BQ57:BQ62" si="180">BP57*$CE$435</f>
        <v>0</v>
      </c>
      <c r="BR57" s="449">
        <f t="shared" ref="BR57:BR62" si="181">IF(BP57&gt;0,SQRT(($Y57*$Y57)+(BO57*BO57)),0)</f>
        <v>0</v>
      </c>
      <c r="BS57" s="451">
        <f t="shared" ref="BS57:BS62" si="182">(BQ57*BR57)^2</f>
        <v>0</v>
      </c>
      <c r="BT57" s="248">
        <v>0</v>
      </c>
      <c r="BU57" s="246">
        <v>0</v>
      </c>
      <c r="BV57" s="450">
        <v>0</v>
      </c>
      <c r="BW57" s="449">
        <v>0</v>
      </c>
      <c r="BX57" s="452">
        <v>0</v>
      </c>
      <c r="BY57" s="449">
        <v>0</v>
      </c>
      <c r="BZ57" s="451">
        <f t="shared" ref="BZ57:BZ77" si="183">(BX57*BY57)^2</f>
        <v>0</v>
      </c>
      <c r="CA57" s="242">
        <f t="shared" ref="CA57:CA62" si="184">IF(C57="EmisionesGEI",D57,AE57+AM57+AU57+BB57+BQ57)</f>
        <v>0</v>
      </c>
      <c r="CB57" s="453">
        <f t="shared" ref="CB57:CB62" si="185">IF(CA57&gt;0,SQRT(AG57+AO57+AW57+BD57+BS57)/CA57,0)</f>
        <v>0</v>
      </c>
      <c r="CC57" s="45">
        <f t="shared" ref="CC57:CC62" si="186">(CA57*CB57)^2</f>
        <v>0</v>
      </c>
    </row>
    <row r="58" spans="1:155">
      <c r="B58" s="285" t="s">
        <v>247</v>
      </c>
      <c r="C58" s="239"/>
      <c r="D58" s="239"/>
      <c r="E58" s="252"/>
      <c r="F58" s="241">
        <f t="shared" si="148"/>
        <v>0</v>
      </c>
      <c r="G58" s="239"/>
      <c r="H58" s="239"/>
      <c r="I58" s="239"/>
      <c r="J58" s="239"/>
      <c r="K58" s="239"/>
      <c r="L58" s="239"/>
      <c r="M58" s="239"/>
      <c r="N58" s="239"/>
      <c r="O58" s="239"/>
      <c r="P58" s="239"/>
      <c r="Q58" s="239"/>
      <c r="R58" s="239"/>
      <c r="S58" s="242">
        <f t="shared" si="149"/>
        <v>0</v>
      </c>
      <c r="T58" s="243">
        <f t="shared" si="150"/>
        <v>0</v>
      </c>
      <c r="U58" s="242">
        <f t="shared" si="151"/>
        <v>0</v>
      </c>
      <c r="V58" s="242">
        <f t="shared" si="152"/>
        <v>0</v>
      </c>
      <c r="W58" s="242">
        <f t="shared" si="153"/>
        <v>0</v>
      </c>
      <c r="X58" s="244"/>
      <c r="Y58" s="449">
        <f t="shared" si="154"/>
        <v>0</v>
      </c>
      <c r="Z58" s="245">
        <v>0</v>
      </c>
      <c r="AA58" s="246">
        <v>0</v>
      </c>
      <c r="AB58" s="450">
        <v>0</v>
      </c>
      <c r="AC58" s="449">
        <v>0</v>
      </c>
      <c r="AD58" s="451">
        <f t="shared" si="155"/>
        <v>0</v>
      </c>
      <c r="AE58" s="451">
        <f t="shared" si="156"/>
        <v>0</v>
      </c>
      <c r="AF58" s="449">
        <f t="shared" si="157"/>
        <v>0</v>
      </c>
      <c r="AG58" s="451">
        <f t="shared" si="158"/>
        <v>0</v>
      </c>
      <c r="AH58" s="250">
        <v>0</v>
      </c>
      <c r="AI58" s="246">
        <v>0</v>
      </c>
      <c r="AJ58" s="450">
        <v>0</v>
      </c>
      <c r="AK58" s="449">
        <v>0</v>
      </c>
      <c r="AL58" s="452">
        <f t="shared" si="159"/>
        <v>0</v>
      </c>
      <c r="AM58" s="452">
        <f t="shared" si="160"/>
        <v>0</v>
      </c>
      <c r="AN58" s="449">
        <f t="shared" si="161"/>
        <v>0</v>
      </c>
      <c r="AO58" s="451">
        <f t="shared" si="162"/>
        <v>0</v>
      </c>
      <c r="AP58" s="250">
        <v>0</v>
      </c>
      <c r="AQ58" s="246">
        <v>0</v>
      </c>
      <c r="AR58" s="450">
        <v>0</v>
      </c>
      <c r="AS58" s="449">
        <v>0</v>
      </c>
      <c r="AT58" s="452">
        <f t="shared" si="163"/>
        <v>0</v>
      </c>
      <c r="AU58" s="452">
        <f t="shared" si="164"/>
        <v>0</v>
      </c>
      <c r="AV58" s="449">
        <f t="shared" si="165"/>
        <v>0</v>
      </c>
      <c r="AW58" s="451">
        <f t="shared" si="166"/>
        <v>0</v>
      </c>
      <c r="AX58" s="248">
        <f>VLOOKUP($E58,$CD$138:$DH$504,3,FALSE)</f>
        <v>0</v>
      </c>
      <c r="AY58" s="246">
        <f t="shared" si="167"/>
        <v>0</v>
      </c>
      <c r="AZ58" s="450">
        <f t="shared" si="168"/>
        <v>0</v>
      </c>
      <c r="BA58" s="449">
        <f t="shared" si="169"/>
        <v>0</v>
      </c>
      <c r="BB58" s="452">
        <f t="shared" si="170"/>
        <v>0</v>
      </c>
      <c r="BC58" s="449">
        <f t="shared" si="171"/>
        <v>0</v>
      </c>
      <c r="BD58" s="451">
        <f t="shared" si="172"/>
        <v>0</v>
      </c>
      <c r="BE58" s="248">
        <v>0</v>
      </c>
      <c r="BF58" s="246">
        <f t="shared" si="173"/>
        <v>0</v>
      </c>
      <c r="BG58" s="450">
        <f t="shared" si="174"/>
        <v>0</v>
      </c>
      <c r="BH58" s="449">
        <f t="shared" si="175"/>
        <v>0</v>
      </c>
      <c r="BI58" s="452">
        <f t="shared" si="176"/>
        <v>0</v>
      </c>
      <c r="BJ58" s="449">
        <f t="shared" si="177"/>
        <v>0</v>
      </c>
      <c r="BK58" s="451">
        <f t="shared" si="178"/>
        <v>0</v>
      </c>
      <c r="BL58" s="248">
        <v>0</v>
      </c>
      <c r="BM58" s="246">
        <v>0</v>
      </c>
      <c r="BN58" s="450">
        <v>0</v>
      </c>
      <c r="BO58" s="449">
        <v>0</v>
      </c>
      <c r="BP58" s="452">
        <f t="shared" si="179"/>
        <v>0</v>
      </c>
      <c r="BQ58" s="452">
        <f t="shared" si="180"/>
        <v>0</v>
      </c>
      <c r="BR58" s="449">
        <f t="shared" si="181"/>
        <v>0</v>
      </c>
      <c r="BS58" s="451">
        <f t="shared" si="182"/>
        <v>0</v>
      </c>
      <c r="BT58" s="248">
        <v>0</v>
      </c>
      <c r="BU58" s="246">
        <v>0</v>
      </c>
      <c r="BV58" s="450">
        <v>0</v>
      </c>
      <c r="BW58" s="449">
        <v>0</v>
      </c>
      <c r="BX58" s="452">
        <v>0</v>
      </c>
      <c r="BY58" s="449">
        <v>0</v>
      </c>
      <c r="BZ58" s="451">
        <f t="shared" si="183"/>
        <v>0</v>
      </c>
      <c r="CA58" s="242">
        <f t="shared" si="184"/>
        <v>0</v>
      </c>
      <c r="CB58" s="453">
        <f t="shared" si="185"/>
        <v>0</v>
      </c>
      <c r="CC58" s="45">
        <f t="shared" si="186"/>
        <v>0</v>
      </c>
    </row>
    <row r="59" spans="1:155" ht="18.75" customHeight="1">
      <c r="B59" s="285" t="s">
        <v>248</v>
      </c>
      <c r="C59" s="239"/>
      <c r="D59" s="239"/>
      <c r="E59" s="252"/>
      <c r="F59" s="241">
        <f t="shared" si="148"/>
        <v>0</v>
      </c>
      <c r="G59" s="239"/>
      <c r="H59" s="239"/>
      <c r="I59" s="239"/>
      <c r="J59" s="239"/>
      <c r="K59" s="239"/>
      <c r="L59" s="239"/>
      <c r="M59" s="239"/>
      <c r="N59" s="239"/>
      <c r="O59" s="239"/>
      <c r="P59" s="239"/>
      <c r="Q59" s="239"/>
      <c r="R59" s="239"/>
      <c r="S59" s="242">
        <f t="shared" ref="S59:S60" si="187">SUM(G59:R59)</f>
        <v>0</v>
      </c>
      <c r="T59" s="243">
        <f t="shared" ref="T59:T60" si="188">COUNT(G59:R59)</f>
        <v>0</v>
      </c>
      <c r="U59" s="242">
        <f t="shared" ref="U59:U60" si="189">IF(T59&gt;1,AVERAGE(G59:R59),0)</f>
        <v>0</v>
      </c>
      <c r="V59" s="242">
        <f t="shared" ref="V59:V60" si="190">IF(T59&gt;1,STDEV(G59:R59),0)</f>
        <v>0</v>
      </c>
      <c r="W59" s="242">
        <f t="shared" si="153"/>
        <v>0</v>
      </c>
      <c r="X59" s="244"/>
      <c r="Y59" s="449">
        <f t="shared" si="154"/>
        <v>0</v>
      </c>
      <c r="Z59" s="245">
        <v>0</v>
      </c>
      <c r="AA59" s="246">
        <v>0</v>
      </c>
      <c r="AB59" s="450">
        <v>0</v>
      </c>
      <c r="AC59" s="449">
        <v>0</v>
      </c>
      <c r="AD59" s="451">
        <f t="shared" ref="AD59:AD60" si="191">($S59*Z59)/1000</f>
        <v>0</v>
      </c>
      <c r="AE59" s="451">
        <f t="shared" si="156"/>
        <v>0</v>
      </c>
      <c r="AF59" s="449">
        <f t="shared" ref="AF59:AF60" si="192">IF(AD59&gt;0,SQRT(($Y59*$Y59)+(AC59*AC59)),0)</f>
        <v>0</v>
      </c>
      <c r="AG59" s="451">
        <f t="shared" ref="AG59:AG60" si="193">(AE59*AF59)^2</f>
        <v>0</v>
      </c>
      <c r="AH59" s="250">
        <v>0</v>
      </c>
      <c r="AI59" s="246">
        <v>0</v>
      </c>
      <c r="AJ59" s="450">
        <v>0</v>
      </c>
      <c r="AK59" s="449">
        <v>0</v>
      </c>
      <c r="AL59" s="452">
        <f t="shared" ref="AL59:AL60" si="194">($S59*AH59)/1000</f>
        <v>0</v>
      </c>
      <c r="AM59" s="452">
        <f t="shared" si="160"/>
        <v>0</v>
      </c>
      <c r="AN59" s="449">
        <f t="shared" ref="AN59:AN60" si="195">IF(AL59&gt;0,SQRT(($Y59*$Y59)+(AK59*AK59)),0)</f>
        <v>0</v>
      </c>
      <c r="AO59" s="451">
        <f t="shared" ref="AO59:AO60" si="196">(AM59*AN59)^2</f>
        <v>0</v>
      </c>
      <c r="AP59" s="250">
        <v>0</v>
      </c>
      <c r="AQ59" s="246">
        <v>0</v>
      </c>
      <c r="AR59" s="450">
        <v>0</v>
      </c>
      <c r="AS59" s="449">
        <v>0</v>
      </c>
      <c r="AT59" s="452">
        <f t="shared" si="163"/>
        <v>0</v>
      </c>
      <c r="AU59" s="452">
        <f t="shared" si="164"/>
        <v>0</v>
      </c>
      <c r="AV59" s="449">
        <f t="shared" ref="AV59:AV60" si="197">IF(AT59&gt;0,SQRT(($Y59*$Y59)+(AS59*AS59)),0)</f>
        <v>0</v>
      </c>
      <c r="AW59" s="451">
        <f t="shared" ref="AW59:AW60" si="198">(AU59*AV59)^2</f>
        <v>0</v>
      </c>
      <c r="AX59" s="248">
        <f>VLOOKUP($E59,$CD$138:$DH$504,3,FALSE)</f>
        <v>0</v>
      </c>
      <c r="AY59" s="246">
        <f t="shared" si="167"/>
        <v>0</v>
      </c>
      <c r="AZ59" s="450">
        <f t="shared" si="168"/>
        <v>0</v>
      </c>
      <c r="BA59" s="449">
        <f t="shared" si="169"/>
        <v>0</v>
      </c>
      <c r="BB59" s="452">
        <f t="shared" ref="BB59:BB60" si="199">($S59*AX59)/1000</f>
        <v>0</v>
      </c>
      <c r="BC59" s="449">
        <f t="shared" ref="BC59:BC60" si="200">IF(BB59&gt;0,SQRT(($Y59*$Y59)+(BA59*BA59)),0)</f>
        <v>0</v>
      </c>
      <c r="BD59" s="451">
        <f t="shared" ref="BD59:BD60" si="201">(BB59*BC59)^2</f>
        <v>0</v>
      </c>
      <c r="BE59" s="248">
        <v>0</v>
      </c>
      <c r="BF59" s="246">
        <f t="shared" si="173"/>
        <v>0</v>
      </c>
      <c r="BG59" s="450">
        <f t="shared" si="174"/>
        <v>0</v>
      </c>
      <c r="BH59" s="449">
        <f t="shared" si="175"/>
        <v>0</v>
      </c>
      <c r="BI59" s="452">
        <f t="shared" ref="BI59:BI60" si="202">($S59*BE59)/1000</f>
        <v>0</v>
      </c>
      <c r="BJ59" s="449">
        <f t="shared" ref="BJ59:BJ60" si="203">IF(BI59&gt;0,SQRT(($Y59*$Y59)+(BH59*BH59)),0)</f>
        <v>0</v>
      </c>
      <c r="BK59" s="451">
        <f t="shared" ref="BK59:BK60" si="204">(BI59*BJ59)^2</f>
        <v>0</v>
      </c>
      <c r="BL59" s="248">
        <v>0</v>
      </c>
      <c r="BM59" s="246">
        <v>0</v>
      </c>
      <c r="BN59" s="450">
        <v>0</v>
      </c>
      <c r="BO59" s="449">
        <v>0</v>
      </c>
      <c r="BP59" s="452">
        <f t="shared" ref="BP59:BP60" si="205">($S59*BL59)/1000</f>
        <v>0</v>
      </c>
      <c r="BQ59" s="452">
        <f t="shared" si="180"/>
        <v>0</v>
      </c>
      <c r="BR59" s="449">
        <f t="shared" ref="BR59:BR60" si="206">IF(BP59&gt;0,SQRT(($Y59*$Y59)+(BO59*BO59)),0)</f>
        <v>0</v>
      </c>
      <c r="BS59" s="451">
        <f t="shared" ref="BS59:BS60" si="207">(BQ59*BR59)^2</f>
        <v>0</v>
      </c>
      <c r="BT59" s="248">
        <v>0</v>
      </c>
      <c r="BU59" s="246">
        <v>0</v>
      </c>
      <c r="BV59" s="450">
        <v>0</v>
      </c>
      <c r="BW59" s="449">
        <v>0</v>
      </c>
      <c r="BX59" s="452">
        <v>0</v>
      </c>
      <c r="BY59" s="449">
        <v>0</v>
      </c>
      <c r="BZ59" s="451">
        <f t="shared" ref="BZ59:BZ60" si="208">(BX59*BY59)^2</f>
        <v>0</v>
      </c>
      <c r="CA59" s="242">
        <f t="shared" ref="CA59:CA60" si="209">IF(C59="EmisionesGEI",D59,AE59+AM59+AU59+BB59+BQ59)</f>
        <v>0</v>
      </c>
      <c r="CB59" s="453">
        <f t="shared" si="185"/>
        <v>0</v>
      </c>
      <c r="CC59" s="45">
        <f t="shared" ref="CC59:CC60" si="210">(CA59*CB59)^2</f>
        <v>0</v>
      </c>
    </row>
    <row r="60" spans="1:155">
      <c r="B60" s="285"/>
      <c r="C60" s="239"/>
      <c r="D60" s="239"/>
      <c r="E60" s="252"/>
      <c r="F60" s="241">
        <f t="shared" si="148"/>
        <v>0</v>
      </c>
      <c r="G60" s="239"/>
      <c r="H60" s="239"/>
      <c r="I60" s="239"/>
      <c r="J60" s="239"/>
      <c r="K60" s="239"/>
      <c r="L60" s="239"/>
      <c r="M60" s="239"/>
      <c r="N60" s="239"/>
      <c r="O60" s="239"/>
      <c r="P60" s="239"/>
      <c r="Q60" s="239"/>
      <c r="R60" s="239"/>
      <c r="S60" s="242">
        <f t="shared" si="187"/>
        <v>0</v>
      </c>
      <c r="T60" s="243">
        <f t="shared" si="188"/>
        <v>0</v>
      </c>
      <c r="U60" s="242">
        <f t="shared" si="189"/>
        <v>0</v>
      </c>
      <c r="V60" s="242">
        <f t="shared" si="190"/>
        <v>0</v>
      </c>
      <c r="W60" s="242">
        <f t="shared" si="153"/>
        <v>0</v>
      </c>
      <c r="X60" s="244"/>
      <c r="Y60" s="449">
        <f t="shared" si="154"/>
        <v>0</v>
      </c>
      <c r="Z60" s="245">
        <v>0</v>
      </c>
      <c r="AA60" s="246">
        <v>0</v>
      </c>
      <c r="AB60" s="450">
        <v>0</v>
      </c>
      <c r="AC60" s="449">
        <v>0</v>
      </c>
      <c r="AD60" s="451">
        <f t="shared" si="191"/>
        <v>0</v>
      </c>
      <c r="AE60" s="451">
        <f t="shared" si="156"/>
        <v>0</v>
      </c>
      <c r="AF60" s="449">
        <f t="shared" si="192"/>
        <v>0</v>
      </c>
      <c r="AG60" s="451">
        <f t="shared" si="193"/>
        <v>0</v>
      </c>
      <c r="AH60" s="250">
        <v>0</v>
      </c>
      <c r="AI60" s="246">
        <v>0</v>
      </c>
      <c r="AJ60" s="450">
        <v>0</v>
      </c>
      <c r="AK60" s="449">
        <v>0</v>
      </c>
      <c r="AL60" s="452">
        <f t="shared" si="194"/>
        <v>0</v>
      </c>
      <c r="AM60" s="452">
        <f t="shared" si="160"/>
        <v>0</v>
      </c>
      <c r="AN60" s="449">
        <f t="shared" si="195"/>
        <v>0</v>
      </c>
      <c r="AO60" s="451">
        <f t="shared" si="196"/>
        <v>0</v>
      </c>
      <c r="AP60" s="250">
        <v>0</v>
      </c>
      <c r="AQ60" s="246">
        <v>0</v>
      </c>
      <c r="AR60" s="450">
        <v>0</v>
      </c>
      <c r="AS60" s="449">
        <v>0</v>
      </c>
      <c r="AT60" s="452">
        <f t="shared" si="163"/>
        <v>0</v>
      </c>
      <c r="AU60" s="452">
        <f t="shared" si="164"/>
        <v>0</v>
      </c>
      <c r="AV60" s="449">
        <f t="shared" si="197"/>
        <v>0</v>
      </c>
      <c r="AW60" s="451">
        <f t="shared" si="198"/>
        <v>0</v>
      </c>
      <c r="AX60" s="248">
        <f>VLOOKUP($E60,$CD$138:$DH$504,3,FALSE)</f>
        <v>0</v>
      </c>
      <c r="AY60" s="246">
        <f t="shared" si="167"/>
        <v>0</v>
      </c>
      <c r="AZ60" s="450">
        <f t="shared" si="168"/>
        <v>0</v>
      </c>
      <c r="BA60" s="449">
        <f t="shared" si="169"/>
        <v>0</v>
      </c>
      <c r="BB60" s="452">
        <f t="shared" si="199"/>
        <v>0</v>
      </c>
      <c r="BC60" s="449">
        <f t="shared" si="200"/>
        <v>0</v>
      </c>
      <c r="BD60" s="451">
        <f t="shared" si="201"/>
        <v>0</v>
      </c>
      <c r="BE60" s="248">
        <v>0</v>
      </c>
      <c r="BF60" s="246">
        <f t="shared" si="173"/>
        <v>0</v>
      </c>
      <c r="BG60" s="450">
        <f t="shared" si="174"/>
        <v>0</v>
      </c>
      <c r="BH60" s="449">
        <f t="shared" si="175"/>
        <v>0</v>
      </c>
      <c r="BI60" s="452">
        <f t="shared" si="202"/>
        <v>0</v>
      </c>
      <c r="BJ60" s="449">
        <f t="shared" si="203"/>
        <v>0</v>
      </c>
      <c r="BK60" s="451">
        <f t="shared" si="204"/>
        <v>0</v>
      </c>
      <c r="BL60" s="248">
        <v>0</v>
      </c>
      <c r="BM60" s="246">
        <v>0</v>
      </c>
      <c r="BN60" s="450">
        <v>0</v>
      </c>
      <c r="BO60" s="449">
        <v>0</v>
      </c>
      <c r="BP60" s="452">
        <f t="shared" si="205"/>
        <v>0</v>
      </c>
      <c r="BQ60" s="452">
        <f t="shared" si="180"/>
        <v>0</v>
      </c>
      <c r="BR60" s="449">
        <f t="shared" si="206"/>
        <v>0</v>
      </c>
      <c r="BS60" s="451">
        <f t="shared" si="207"/>
        <v>0</v>
      </c>
      <c r="BT60" s="248">
        <v>0</v>
      </c>
      <c r="BU60" s="246">
        <v>0</v>
      </c>
      <c r="BV60" s="450">
        <v>0</v>
      </c>
      <c r="BW60" s="449">
        <v>0</v>
      </c>
      <c r="BX60" s="452">
        <v>0</v>
      </c>
      <c r="BY60" s="449">
        <v>0</v>
      </c>
      <c r="BZ60" s="451">
        <f t="shared" si="208"/>
        <v>0</v>
      </c>
      <c r="CA60" s="242">
        <f t="shared" si="209"/>
        <v>0</v>
      </c>
      <c r="CB60" s="453">
        <f t="shared" si="185"/>
        <v>0</v>
      </c>
      <c r="CC60" s="45">
        <f t="shared" si="210"/>
        <v>0</v>
      </c>
    </row>
    <row r="61" spans="1:155" ht="18.75" customHeight="1">
      <c r="B61" s="238" t="s">
        <v>249</v>
      </c>
      <c r="C61" s="239"/>
      <c r="D61" s="239"/>
      <c r="E61" s="252"/>
      <c r="F61" s="241">
        <f t="shared" si="148"/>
        <v>0</v>
      </c>
      <c r="G61" s="239"/>
      <c r="H61" s="239"/>
      <c r="I61" s="239"/>
      <c r="J61" s="239"/>
      <c r="K61" s="239"/>
      <c r="L61" s="239"/>
      <c r="M61" s="239"/>
      <c r="N61" s="239"/>
      <c r="O61" s="239"/>
      <c r="P61" s="239"/>
      <c r="Q61" s="239"/>
      <c r="R61" s="239"/>
      <c r="S61" s="242">
        <f t="shared" si="149"/>
        <v>0</v>
      </c>
      <c r="T61" s="243">
        <f t="shared" si="150"/>
        <v>0</v>
      </c>
      <c r="U61" s="242">
        <f t="shared" si="151"/>
        <v>0</v>
      </c>
      <c r="V61" s="242">
        <f t="shared" si="152"/>
        <v>0</v>
      </c>
      <c r="W61" s="242">
        <f t="shared" si="153"/>
        <v>0</v>
      </c>
      <c r="X61" s="244"/>
      <c r="Y61" s="449">
        <f t="shared" si="154"/>
        <v>0</v>
      </c>
      <c r="Z61" s="245">
        <v>0</v>
      </c>
      <c r="AA61" s="246">
        <v>0</v>
      </c>
      <c r="AB61" s="450">
        <v>0</v>
      </c>
      <c r="AC61" s="449">
        <v>0</v>
      </c>
      <c r="AD61" s="451">
        <f t="shared" si="155"/>
        <v>0</v>
      </c>
      <c r="AE61" s="451">
        <f t="shared" si="156"/>
        <v>0</v>
      </c>
      <c r="AF61" s="449">
        <f t="shared" si="157"/>
        <v>0</v>
      </c>
      <c r="AG61" s="451">
        <f t="shared" si="158"/>
        <v>0</v>
      </c>
      <c r="AH61" s="250">
        <v>0</v>
      </c>
      <c r="AI61" s="246">
        <v>0</v>
      </c>
      <c r="AJ61" s="450">
        <v>0</v>
      </c>
      <c r="AK61" s="449">
        <v>0</v>
      </c>
      <c r="AL61" s="452">
        <f t="shared" si="159"/>
        <v>0</v>
      </c>
      <c r="AM61" s="452">
        <f t="shared" si="160"/>
        <v>0</v>
      </c>
      <c r="AN61" s="449">
        <f t="shared" si="161"/>
        <v>0</v>
      </c>
      <c r="AO61" s="451">
        <f t="shared" si="162"/>
        <v>0</v>
      </c>
      <c r="AP61" s="250">
        <v>0</v>
      </c>
      <c r="AQ61" s="246">
        <v>0</v>
      </c>
      <c r="AR61" s="450">
        <v>0</v>
      </c>
      <c r="AS61" s="449">
        <v>0</v>
      </c>
      <c r="AT61" s="452">
        <f t="shared" si="163"/>
        <v>0</v>
      </c>
      <c r="AU61" s="452">
        <f t="shared" si="164"/>
        <v>0</v>
      </c>
      <c r="AV61" s="449">
        <f t="shared" si="165"/>
        <v>0</v>
      </c>
      <c r="AW61" s="451">
        <f t="shared" si="166"/>
        <v>0</v>
      </c>
      <c r="AX61" s="248">
        <v>0</v>
      </c>
      <c r="AY61" s="246">
        <f t="shared" si="167"/>
        <v>0</v>
      </c>
      <c r="AZ61" s="450">
        <f t="shared" si="168"/>
        <v>0</v>
      </c>
      <c r="BA61" s="449">
        <f t="shared" si="169"/>
        <v>0</v>
      </c>
      <c r="BB61" s="452">
        <f t="shared" si="170"/>
        <v>0</v>
      </c>
      <c r="BC61" s="449">
        <f t="shared" si="171"/>
        <v>0</v>
      </c>
      <c r="BD61" s="451">
        <f t="shared" si="172"/>
        <v>0</v>
      </c>
      <c r="BE61" s="248">
        <f>VLOOKUP($E61,$CD$138:$DH$504,3,FALSE)</f>
        <v>0</v>
      </c>
      <c r="BF61" s="246">
        <f t="shared" si="173"/>
        <v>0</v>
      </c>
      <c r="BG61" s="450">
        <f t="shared" si="174"/>
        <v>0</v>
      </c>
      <c r="BH61" s="449">
        <f t="shared" si="175"/>
        <v>0</v>
      </c>
      <c r="BI61" s="452">
        <f t="shared" si="176"/>
        <v>0</v>
      </c>
      <c r="BJ61" s="449">
        <f t="shared" si="177"/>
        <v>0</v>
      </c>
      <c r="BK61" s="451">
        <f t="shared" si="178"/>
        <v>0</v>
      </c>
      <c r="BL61" s="248">
        <v>0</v>
      </c>
      <c r="BM61" s="246">
        <v>0</v>
      </c>
      <c r="BN61" s="450">
        <v>0</v>
      </c>
      <c r="BO61" s="449">
        <v>0</v>
      </c>
      <c r="BP61" s="452">
        <f t="shared" si="179"/>
        <v>0</v>
      </c>
      <c r="BQ61" s="452">
        <f t="shared" si="180"/>
        <v>0</v>
      </c>
      <c r="BR61" s="449">
        <f t="shared" si="181"/>
        <v>0</v>
      </c>
      <c r="BS61" s="451">
        <f t="shared" si="182"/>
        <v>0</v>
      </c>
      <c r="BT61" s="248">
        <v>0</v>
      </c>
      <c r="BU61" s="246">
        <v>0</v>
      </c>
      <c r="BV61" s="450">
        <v>0</v>
      </c>
      <c r="BW61" s="449">
        <v>0</v>
      </c>
      <c r="BX61" s="452">
        <v>0</v>
      </c>
      <c r="BY61" s="449">
        <v>0</v>
      </c>
      <c r="BZ61" s="451">
        <f t="shared" si="183"/>
        <v>0</v>
      </c>
      <c r="CA61" s="242">
        <f t="shared" si="184"/>
        <v>0</v>
      </c>
      <c r="CB61" s="453">
        <f t="shared" si="185"/>
        <v>0</v>
      </c>
      <c r="CC61" s="45">
        <f t="shared" si="186"/>
        <v>0</v>
      </c>
    </row>
    <row r="62" spans="1:155">
      <c r="B62" s="286" t="s">
        <v>250</v>
      </c>
      <c r="C62" s="239"/>
      <c r="D62" s="239"/>
      <c r="E62" s="252"/>
      <c r="F62" s="241">
        <f t="shared" si="148"/>
        <v>0</v>
      </c>
      <c r="G62" s="239"/>
      <c r="H62" s="239"/>
      <c r="I62" s="239"/>
      <c r="J62" s="239"/>
      <c r="K62" s="239"/>
      <c r="L62" s="239"/>
      <c r="M62" s="239"/>
      <c r="N62" s="239"/>
      <c r="O62" s="239"/>
      <c r="P62" s="239"/>
      <c r="Q62" s="239"/>
      <c r="R62" s="239"/>
      <c r="S62" s="242">
        <f t="shared" si="149"/>
        <v>0</v>
      </c>
      <c r="T62" s="243">
        <f t="shared" si="150"/>
        <v>0</v>
      </c>
      <c r="U62" s="242">
        <f t="shared" si="151"/>
        <v>0</v>
      </c>
      <c r="V62" s="242">
        <f t="shared" si="152"/>
        <v>0</v>
      </c>
      <c r="W62" s="242">
        <f t="shared" si="153"/>
        <v>0</v>
      </c>
      <c r="X62" s="244"/>
      <c r="Y62" s="449">
        <f t="shared" si="154"/>
        <v>0</v>
      </c>
      <c r="Z62" s="245">
        <v>0</v>
      </c>
      <c r="AA62" s="246">
        <v>0</v>
      </c>
      <c r="AB62" s="450">
        <v>0</v>
      </c>
      <c r="AC62" s="449">
        <v>0</v>
      </c>
      <c r="AD62" s="451">
        <f t="shared" si="155"/>
        <v>0</v>
      </c>
      <c r="AE62" s="451">
        <f t="shared" si="156"/>
        <v>0</v>
      </c>
      <c r="AF62" s="449">
        <f t="shared" si="157"/>
        <v>0</v>
      </c>
      <c r="AG62" s="451">
        <f t="shared" si="158"/>
        <v>0</v>
      </c>
      <c r="AH62" s="250">
        <v>0</v>
      </c>
      <c r="AI62" s="246">
        <v>0</v>
      </c>
      <c r="AJ62" s="450">
        <v>0</v>
      </c>
      <c r="AK62" s="449">
        <v>0</v>
      </c>
      <c r="AL62" s="452">
        <f t="shared" si="159"/>
        <v>0</v>
      </c>
      <c r="AM62" s="452">
        <f t="shared" si="160"/>
        <v>0</v>
      </c>
      <c r="AN62" s="449">
        <f t="shared" si="161"/>
        <v>0</v>
      </c>
      <c r="AO62" s="451">
        <f t="shared" si="162"/>
        <v>0</v>
      </c>
      <c r="AP62" s="250">
        <v>0</v>
      </c>
      <c r="AQ62" s="246">
        <v>0</v>
      </c>
      <c r="AR62" s="450">
        <v>0</v>
      </c>
      <c r="AS62" s="449">
        <v>0</v>
      </c>
      <c r="AT62" s="452">
        <f t="shared" si="163"/>
        <v>0</v>
      </c>
      <c r="AU62" s="452">
        <f t="shared" si="164"/>
        <v>0</v>
      </c>
      <c r="AV62" s="449">
        <f t="shared" si="165"/>
        <v>0</v>
      </c>
      <c r="AW62" s="451">
        <f t="shared" si="166"/>
        <v>0</v>
      </c>
      <c r="AX62" s="248">
        <v>0</v>
      </c>
      <c r="AY62" s="246">
        <f t="shared" si="167"/>
        <v>0</v>
      </c>
      <c r="AZ62" s="450">
        <f t="shared" si="168"/>
        <v>0</v>
      </c>
      <c r="BA62" s="449">
        <f t="shared" si="169"/>
        <v>0</v>
      </c>
      <c r="BB62" s="452">
        <f t="shared" si="170"/>
        <v>0</v>
      </c>
      <c r="BC62" s="449">
        <f t="shared" si="171"/>
        <v>0</v>
      </c>
      <c r="BD62" s="451">
        <f t="shared" si="172"/>
        <v>0</v>
      </c>
      <c r="BE62" s="248">
        <f>VLOOKUP($E62,$CD$138:$DH$504,3,FALSE)</f>
        <v>0</v>
      </c>
      <c r="BF62" s="246">
        <f t="shared" si="173"/>
        <v>0</v>
      </c>
      <c r="BG62" s="450">
        <f t="shared" si="174"/>
        <v>0</v>
      </c>
      <c r="BH62" s="449">
        <f t="shared" si="175"/>
        <v>0</v>
      </c>
      <c r="BI62" s="452">
        <f t="shared" si="176"/>
        <v>0</v>
      </c>
      <c r="BJ62" s="449">
        <f t="shared" si="177"/>
        <v>0</v>
      </c>
      <c r="BK62" s="451">
        <f t="shared" si="178"/>
        <v>0</v>
      </c>
      <c r="BL62" s="248">
        <v>0</v>
      </c>
      <c r="BM62" s="246">
        <v>0</v>
      </c>
      <c r="BN62" s="450">
        <v>0</v>
      </c>
      <c r="BO62" s="449">
        <v>0</v>
      </c>
      <c r="BP62" s="452">
        <f t="shared" si="179"/>
        <v>0</v>
      </c>
      <c r="BQ62" s="452">
        <f t="shared" si="180"/>
        <v>0</v>
      </c>
      <c r="BR62" s="449">
        <f t="shared" si="181"/>
        <v>0</v>
      </c>
      <c r="BS62" s="451">
        <f t="shared" si="182"/>
        <v>0</v>
      </c>
      <c r="BT62" s="248">
        <v>0</v>
      </c>
      <c r="BU62" s="246">
        <v>0</v>
      </c>
      <c r="BV62" s="450">
        <v>0</v>
      </c>
      <c r="BW62" s="449">
        <v>0</v>
      </c>
      <c r="BX62" s="452">
        <v>0</v>
      </c>
      <c r="BY62" s="449">
        <v>0</v>
      </c>
      <c r="BZ62" s="451">
        <f t="shared" si="183"/>
        <v>0</v>
      </c>
      <c r="CA62" s="242">
        <f t="shared" si="184"/>
        <v>0</v>
      </c>
      <c r="CB62" s="453">
        <f t="shared" si="185"/>
        <v>0</v>
      </c>
      <c r="CC62" s="45">
        <f t="shared" si="186"/>
        <v>0</v>
      </c>
    </row>
    <row r="63" spans="1:155">
      <c r="B63" s="455" t="s">
        <v>251</v>
      </c>
      <c r="C63" s="456"/>
      <c r="D63" s="456"/>
      <c r="E63" s="456"/>
      <c r="F63" s="456"/>
      <c r="G63" s="457"/>
      <c r="H63" s="457"/>
      <c r="I63" s="457"/>
      <c r="J63" s="457"/>
      <c r="K63" s="457"/>
      <c r="L63" s="457"/>
      <c r="M63" s="457"/>
      <c r="N63" s="457"/>
      <c r="O63" s="457"/>
      <c r="P63" s="457"/>
      <c r="Q63" s="457"/>
      <c r="R63" s="457"/>
      <c r="S63" s="456"/>
      <c r="T63" s="456"/>
      <c r="U63" s="456"/>
      <c r="V63" s="456"/>
      <c r="W63" s="456"/>
      <c r="X63" s="458"/>
      <c r="Y63" s="456"/>
      <c r="Z63" s="459"/>
      <c r="AA63" s="456"/>
      <c r="AB63" s="460"/>
      <c r="AC63" s="456"/>
      <c r="AD63" s="461"/>
      <c r="AE63" s="462">
        <f>SUM(AE57:AE62)</f>
        <v>0</v>
      </c>
      <c r="AF63" s="463">
        <f>IF(AE63&gt;0,SQRT(SUM(AG57:AG62))/AE63,0)</f>
        <v>0</v>
      </c>
      <c r="AG63" s="462">
        <f t="shared" ref="AG63:AG77" si="211">(AE63*AF63)^2</f>
        <v>0</v>
      </c>
      <c r="AH63" s="464"/>
      <c r="AI63" s="456"/>
      <c r="AJ63" s="465"/>
      <c r="AK63" s="456"/>
      <c r="AL63" s="466"/>
      <c r="AM63" s="462">
        <f>SUM(AM57:AM62)</f>
        <v>0</v>
      </c>
      <c r="AN63" s="463">
        <f>IF(AM63&gt;0,SQRT(SUM(AO57:AO62))/AM63,0)</f>
        <v>0</v>
      </c>
      <c r="AO63" s="462">
        <f t="shared" ref="AO63:AO77" si="212">(AM63*AN63)^2</f>
        <v>0</v>
      </c>
      <c r="AP63" s="456"/>
      <c r="AQ63" s="456"/>
      <c r="AR63" s="465"/>
      <c r="AS63" s="456"/>
      <c r="AT63" s="456"/>
      <c r="AU63" s="462">
        <f>SUM(AU57:AU62)</f>
        <v>0</v>
      </c>
      <c r="AV63" s="463">
        <f>IF(AU63&gt;0,SQRT(SUM(AW57:AW62))/AU63,0)</f>
        <v>0</v>
      </c>
      <c r="AW63" s="462">
        <f t="shared" ref="AW63:AW77" si="213">(AU63*AV63)^2</f>
        <v>0</v>
      </c>
      <c r="AX63" s="456"/>
      <c r="AY63" s="456"/>
      <c r="AZ63" s="465"/>
      <c r="BA63" s="456"/>
      <c r="BB63" s="462">
        <f>SUM(BB57:BB62)</f>
        <v>0</v>
      </c>
      <c r="BC63" s="463">
        <f>IF(BB63&gt;0,SQRT(SUM(BD57:BD62))/BB63,0)</f>
        <v>0</v>
      </c>
      <c r="BD63" s="462">
        <f t="shared" ref="BD63:BD77" si="214">(BB63*BC63)^2</f>
        <v>0</v>
      </c>
      <c r="BE63" s="456"/>
      <c r="BF63" s="456"/>
      <c r="BG63" s="465"/>
      <c r="BH63" s="456"/>
      <c r="BI63" s="462">
        <f>SUM(BI57:BI62)</f>
        <v>0</v>
      </c>
      <c r="BJ63" s="463">
        <f>IF(BI63&gt;0,SQRT(SUM(BK57:BK62))/BI63,0)</f>
        <v>0</v>
      </c>
      <c r="BK63" s="462">
        <f t="shared" si="178"/>
        <v>0</v>
      </c>
      <c r="BL63" s="456"/>
      <c r="BM63" s="456"/>
      <c r="BN63" s="460"/>
      <c r="BO63" s="467"/>
      <c r="BP63" s="468"/>
      <c r="BQ63" s="462">
        <f>SUM(BQ57:BQ62)</f>
        <v>0</v>
      </c>
      <c r="BR63" s="463">
        <f>IF(BQ63&gt;0,SQRT(SUM(BS57:BS62))/BQ63,0)</f>
        <v>0</v>
      </c>
      <c r="BS63" s="462">
        <f t="shared" ref="BS63:BS77" si="215">(BQ63*BR63)^2</f>
        <v>0</v>
      </c>
      <c r="BT63" s="456"/>
      <c r="BU63" s="456"/>
      <c r="BV63" s="460"/>
      <c r="BW63" s="467"/>
      <c r="BX63" s="462">
        <f>SUM(BX57:BX62)</f>
        <v>0</v>
      </c>
      <c r="BY63" s="463">
        <f>IF(BX63&gt;0,SQRT(SUM(BZ57:BZ62))/BX63,0)</f>
        <v>0</v>
      </c>
      <c r="BZ63" s="462">
        <f t="shared" si="183"/>
        <v>0</v>
      </c>
      <c r="CA63" s="462">
        <f>SUM(CA57:CA62)</f>
        <v>0</v>
      </c>
      <c r="CB63" s="469">
        <f>IF(CA63&gt;0,SQRT(SUM(CC57:CC62))/CA63,0)</f>
        <v>0</v>
      </c>
      <c r="CC63" s="45">
        <f t="shared" ref="CC63:CC77" si="216">(CA63*CB63)^2</f>
        <v>0</v>
      </c>
    </row>
    <row r="64" spans="1:155" ht="15" customHeight="1">
      <c r="B64" s="238" t="s">
        <v>252</v>
      </c>
      <c r="C64" s="239"/>
      <c r="D64" s="239"/>
      <c r="E64" s="252"/>
      <c r="F64" s="241">
        <f>VLOOKUP($E64,$CD$138:$DH$504,2,FALSE)</f>
        <v>0</v>
      </c>
      <c r="G64" s="239"/>
      <c r="H64" s="239"/>
      <c r="I64" s="239"/>
      <c r="J64" s="239"/>
      <c r="K64" s="239"/>
      <c r="L64" s="239"/>
      <c r="M64" s="239"/>
      <c r="N64" s="239"/>
      <c r="O64" s="239"/>
      <c r="P64" s="239"/>
      <c r="Q64" s="239"/>
      <c r="R64" s="239"/>
      <c r="S64" s="242">
        <f t="shared" ref="S64:S67" si="217">SUM(G64:R64)</f>
        <v>0</v>
      </c>
      <c r="T64" s="243">
        <f t="shared" ref="T64:T67" si="218">COUNT(G64:R64)</f>
        <v>0</v>
      </c>
      <c r="U64" s="242">
        <f t="shared" ref="U64:U67" si="219">IF(T64&gt;1,AVERAGE(G64:R64),0)</f>
        <v>0</v>
      </c>
      <c r="V64" s="242">
        <f t="shared" ref="V64:V67" si="220">IF(T64&gt;1,STDEV(G64:R64),0)</f>
        <v>0</v>
      </c>
      <c r="W64" s="242">
        <f>IF(T64&gt;1,VLOOKUP($T64,$CD$414:$CE$426,2,FALSE),0)</f>
        <v>0</v>
      </c>
      <c r="X64" s="244"/>
      <c r="Y64" s="449">
        <f>IF(X64&gt;0,X64,IF(T64&gt;1,1-((U64-((V64*W64)/(SQRT(T64))))/U64),VLOOKUP($E64,$CD$138:$DK$504,34,FALSE)))</f>
        <v>0</v>
      </c>
      <c r="Z64" s="245">
        <v>0</v>
      </c>
      <c r="AA64" s="246">
        <v>0</v>
      </c>
      <c r="AB64" s="450">
        <v>0</v>
      </c>
      <c r="AC64" s="449">
        <v>0</v>
      </c>
      <c r="AD64" s="451">
        <f t="shared" ref="AD64:AD67" si="221">($S64*Z64)/1000</f>
        <v>0</v>
      </c>
      <c r="AE64" s="451">
        <f>AD64*$CE$432</f>
        <v>0</v>
      </c>
      <c r="AF64" s="449">
        <f t="shared" ref="AF64:AF67" si="222">IF(AD64&gt;0,SQRT(($Y64*$Y64)+(AC64*AC64)),0)</f>
        <v>0</v>
      </c>
      <c r="AG64" s="451">
        <f t="shared" ref="AG64:AG68" si="223">(AE64*AF64)^2</f>
        <v>0</v>
      </c>
      <c r="AH64" s="250">
        <v>0</v>
      </c>
      <c r="AI64" s="246">
        <v>0</v>
      </c>
      <c r="AJ64" s="450">
        <v>0</v>
      </c>
      <c r="AK64" s="449">
        <v>0</v>
      </c>
      <c r="AL64" s="452">
        <f t="shared" ref="AL64:AL67" si="224">($S64*AH64)/1000</f>
        <v>0</v>
      </c>
      <c r="AM64" s="452">
        <f>AL64*$CE$433</f>
        <v>0</v>
      </c>
      <c r="AN64" s="449">
        <f t="shared" ref="AN64:AN67" si="225">IF(AL64&gt;0,SQRT(($Y64*$Y64)+(AK64*AK64)),0)</f>
        <v>0</v>
      </c>
      <c r="AO64" s="451">
        <f t="shared" ref="AO64:AO68" si="226">(AM64*AN64)^2</f>
        <v>0</v>
      </c>
      <c r="AP64" s="250">
        <v>0</v>
      </c>
      <c r="AQ64" s="246">
        <f>VLOOKUP($E64,$CD$138:$DH$504,28,FALSE)</f>
        <v>0</v>
      </c>
      <c r="AR64" s="450">
        <v>0</v>
      </c>
      <c r="AS64" s="449">
        <v>0</v>
      </c>
      <c r="AT64" s="452">
        <f>($S64*AP64)/1000</f>
        <v>0</v>
      </c>
      <c r="AU64" s="452">
        <f>AT64*$CE$434</f>
        <v>0</v>
      </c>
      <c r="AV64" s="449">
        <f t="shared" ref="AV64:AV67" si="227">IF(AT64&gt;0,SQRT(($Y64*$Y64)+(AS64*AS64)),0)</f>
        <v>0</v>
      </c>
      <c r="AW64" s="451">
        <f t="shared" ref="AW64:AW68" si="228">(AU64*AV64)^2</f>
        <v>0</v>
      </c>
      <c r="AX64" s="248">
        <f>VLOOKUP($E64,$CD$138:$DH$504,3,FALSE)</f>
        <v>0</v>
      </c>
      <c r="AY64" s="246">
        <f>VLOOKUP($E64,$CD$138:$DH$504,4,FALSE)</f>
        <v>0</v>
      </c>
      <c r="AZ64" s="450">
        <f>IF($S64&gt;0,VLOOKUP($E64,$CD$138:$DH$504,7,FALSE),0)</f>
        <v>0</v>
      </c>
      <c r="BA64" s="449">
        <f>IF($S64&gt;0,VLOOKUP($E64,$CD$138:$DH$504,6,FALSE),0)</f>
        <v>0</v>
      </c>
      <c r="BB64" s="452">
        <f t="shared" ref="BB64:BB67" si="229">($S64*AX64)/1000</f>
        <v>0</v>
      </c>
      <c r="BC64" s="449">
        <f t="shared" ref="BC64:BC67" si="230">IF(BB64&gt;0,SQRT(($Y64*$Y64)+(BA64*BA64)),0)</f>
        <v>0</v>
      </c>
      <c r="BD64" s="451">
        <f t="shared" ref="BD64:BD68" si="231">(BB64*BC64)^2</f>
        <v>0</v>
      </c>
      <c r="BE64" s="248">
        <v>0</v>
      </c>
      <c r="BF64" s="246">
        <f>VLOOKUP($E64,$CD$138:$DH$504,4,FALSE)</f>
        <v>0</v>
      </c>
      <c r="BG64" s="450">
        <f>IF($S64&gt;0,VLOOKUP($E64,$CD$138:$DH$504,7,FALSE),0)</f>
        <v>0</v>
      </c>
      <c r="BH64" s="449">
        <f>IF($S64&gt;0,VLOOKUP($E64,$CD$138:$DH$504,6,FALSE),0)</f>
        <v>0</v>
      </c>
      <c r="BI64" s="452">
        <f t="shared" ref="BI64:BI67" si="232">($S64*BE64)/1000</f>
        <v>0</v>
      </c>
      <c r="BJ64" s="449">
        <f t="shared" ref="BJ64:BJ67" si="233">IF(BI64&gt;0,SQRT(($Y64*$Y64)+(BH64*BH64)),0)</f>
        <v>0</v>
      </c>
      <c r="BK64" s="451">
        <f t="shared" si="178"/>
        <v>0</v>
      </c>
      <c r="BL64" s="248">
        <v>0</v>
      </c>
      <c r="BM64" s="246">
        <v>0</v>
      </c>
      <c r="BN64" s="450">
        <v>0</v>
      </c>
      <c r="BO64" s="449">
        <v>0</v>
      </c>
      <c r="BP64" s="452">
        <f t="shared" ref="BP64:BP67" si="234">($S64*BL64)/1000</f>
        <v>0</v>
      </c>
      <c r="BQ64" s="452">
        <f>BP64*$CE$435</f>
        <v>0</v>
      </c>
      <c r="BR64" s="449">
        <f t="shared" ref="BR64:BR67" si="235">IF(BP64&gt;0,SQRT(($Y64*$Y64)+(BO64*BO64)),0)</f>
        <v>0</v>
      </c>
      <c r="BS64" s="451">
        <f t="shared" ref="BS64:BS68" si="236">(BQ64*BR64)^2</f>
        <v>0</v>
      </c>
      <c r="BT64" s="248">
        <v>0</v>
      </c>
      <c r="BU64" s="246">
        <v>0</v>
      </c>
      <c r="BV64" s="450">
        <v>0</v>
      </c>
      <c r="BW64" s="449">
        <v>0</v>
      </c>
      <c r="BX64" s="452">
        <v>0</v>
      </c>
      <c r="BY64" s="449">
        <v>0</v>
      </c>
      <c r="BZ64" s="451">
        <f t="shared" ref="BZ64:BZ68" si="237">(BX64*BY64)^2</f>
        <v>0</v>
      </c>
      <c r="CA64" s="242">
        <f t="shared" ref="CA64:CA67" si="238">IF(C64="EmisionesGEI",D64,AE64+AM64+AU64+BB64+BQ64)</f>
        <v>0</v>
      </c>
      <c r="CB64" s="453">
        <f>IF(CA64&gt;0,SQRT(AG64+AO64+AW64+BD64+BS64)/CA64,0)</f>
        <v>0</v>
      </c>
      <c r="CC64" s="45">
        <f t="shared" ref="CC64:CC68" si="239">(CA64*CB64)^2</f>
        <v>0</v>
      </c>
    </row>
    <row r="65" spans="1:155">
      <c r="B65" s="285" t="s">
        <v>225</v>
      </c>
      <c r="C65" s="239"/>
      <c r="D65" s="239"/>
      <c r="E65" s="252"/>
      <c r="F65" s="241">
        <f>VLOOKUP($E65,$CD$138:$DH$504,2,FALSE)</f>
        <v>0</v>
      </c>
      <c r="G65" s="239"/>
      <c r="H65" s="239"/>
      <c r="I65" s="239"/>
      <c r="J65" s="239"/>
      <c r="K65" s="239"/>
      <c r="L65" s="239"/>
      <c r="M65" s="239"/>
      <c r="N65" s="239"/>
      <c r="O65" s="239"/>
      <c r="P65" s="239"/>
      <c r="Q65" s="239"/>
      <c r="R65" s="239"/>
      <c r="S65" s="242">
        <f t="shared" si="217"/>
        <v>0</v>
      </c>
      <c r="T65" s="243">
        <f t="shared" si="218"/>
        <v>0</v>
      </c>
      <c r="U65" s="242">
        <f t="shared" si="219"/>
        <v>0</v>
      </c>
      <c r="V65" s="242">
        <f t="shared" si="220"/>
        <v>0</v>
      </c>
      <c r="W65" s="242">
        <f>IF(T65&gt;1,VLOOKUP($T65,$CD$414:$CE$426,2,FALSE),0)</f>
        <v>0</v>
      </c>
      <c r="X65" s="244"/>
      <c r="Y65" s="449">
        <f>IF(X65&gt;0,X65,IF(T65&gt;1,1-((U65-((V65*W65)/(SQRT(T65))))/U65),VLOOKUP($E65,$CD$138:$DK$504,34,FALSE)))</f>
        <v>0</v>
      </c>
      <c r="Z65" s="245">
        <v>0</v>
      </c>
      <c r="AA65" s="246">
        <v>0</v>
      </c>
      <c r="AB65" s="450">
        <v>0</v>
      </c>
      <c r="AC65" s="449">
        <v>0</v>
      </c>
      <c r="AD65" s="451">
        <f t="shared" si="221"/>
        <v>0</v>
      </c>
      <c r="AE65" s="451">
        <f>AD65*$CE$432</f>
        <v>0</v>
      </c>
      <c r="AF65" s="449">
        <f t="shared" si="222"/>
        <v>0</v>
      </c>
      <c r="AG65" s="451">
        <f t="shared" si="223"/>
        <v>0</v>
      </c>
      <c r="AH65" s="250">
        <v>0</v>
      </c>
      <c r="AI65" s="246">
        <v>0</v>
      </c>
      <c r="AJ65" s="450">
        <v>0</v>
      </c>
      <c r="AK65" s="449">
        <v>0</v>
      </c>
      <c r="AL65" s="452">
        <f t="shared" si="224"/>
        <v>0</v>
      </c>
      <c r="AM65" s="452">
        <f>AL65*$CE$433</f>
        <v>0</v>
      </c>
      <c r="AN65" s="449">
        <f t="shared" si="225"/>
        <v>0</v>
      </c>
      <c r="AO65" s="451">
        <f t="shared" si="226"/>
        <v>0</v>
      </c>
      <c r="AP65" s="250">
        <v>0</v>
      </c>
      <c r="AQ65" s="246">
        <v>0</v>
      </c>
      <c r="AR65" s="450">
        <v>0</v>
      </c>
      <c r="AS65" s="449">
        <v>0</v>
      </c>
      <c r="AT65" s="452">
        <f>($S65*AP65)/1000</f>
        <v>0</v>
      </c>
      <c r="AU65" s="452">
        <f>AT65*$CE$434</f>
        <v>0</v>
      </c>
      <c r="AV65" s="449">
        <f t="shared" si="227"/>
        <v>0</v>
      </c>
      <c r="AW65" s="451">
        <f t="shared" si="228"/>
        <v>0</v>
      </c>
      <c r="AX65" s="248">
        <f>VLOOKUP($E65,$CD$138:$DH$504,3,FALSE)</f>
        <v>0</v>
      </c>
      <c r="AY65" s="246">
        <f>VLOOKUP($E65,$CD$138:$DH$504,4,FALSE)</f>
        <v>0</v>
      </c>
      <c r="AZ65" s="450">
        <f>IF($S65&gt;0,VLOOKUP($E65,$CD$138:$DH$504,7,FALSE),0)</f>
        <v>0</v>
      </c>
      <c r="BA65" s="449">
        <f>IF($S65&gt;0,VLOOKUP($E65,$CD$138:$DH$504,6,FALSE),0)</f>
        <v>0</v>
      </c>
      <c r="BB65" s="452">
        <f t="shared" si="229"/>
        <v>0</v>
      </c>
      <c r="BC65" s="449">
        <f t="shared" si="230"/>
        <v>0</v>
      </c>
      <c r="BD65" s="451">
        <f t="shared" si="231"/>
        <v>0</v>
      </c>
      <c r="BE65" s="248">
        <v>0</v>
      </c>
      <c r="BF65" s="246">
        <f>VLOOKUP($E65,$CD$138:$DH$504,4,FALSE)</f>
        <v>0</v>
      </c>
      <c r="BG65" s="450">
        <f>IF($S65&gt;0,VLOOKUP($E65,$CD$138:$DH$504,7,FALSE),0)</f>
        <v>0</v>
      </c>
      <c r="BH65" s="449">
        <f>IF($S65&gt;0,VLOOKUP($E65,$CD$138:$DH$504,6,FALSE),0)</f>
        <v>0</v>
      </c>
      <c r="BI65" s="452">
        <f t="shared" si="232"/>
        <v>0</v>
      </c>
      <c r="BJ65" s="449">
        <f t="shared" si="233"/>
        <v>0</v>
      </c>
      <c r="BK65" s="451">
        <f t="shared" si="178"/>
        <v>0</v>
      </c>
      <c r="BL65" s="248">
        <v>0</v>
      </c>
      <c r="BM65" s="246">
        <v>0</v>
      </c>
      <c r="BN65" s="450">
        <v>0</v>
      </c>
      <c r="BO65" s="449">
        <v>0</v>
      </c>
      <c r="BP65" s="452">
        <f t="shared" si="234"/>
        <v>0</v>
      </c>
      <c r="BQ65" s="452">
        <f>BP65*$CE$435</f>
        <v>0</v>
      </c>
      <c r="BR65" s="449">
        <f t="shared" si="235"/>
        <v>0</v>
      </c>
      <c r="BS65" s="451">
        <f t="shared" si="236"/>
        <v>0</v>
      </c>
      <c r="BT65" s="248">
        <v>0</v>
      </c>
      <c r="BU65" s="246">
        <v>0</v>
      </c>
      <c r="BV65" s="450">
        <v>0</v>
      </c>
      <c r="BW65" s="449">
        <v>0</v>
      </c>
      <c r="BX65" s="452">
        <v>0</v>
      </c>
      <c r="BY65" s="449">
        <v>0</v>
      </c>
      <c r="BZ65" s="451">
        <f t="shared" si="237"/>
        <v>0</v>
      </c>
      <c r="CA65" s="242">
        <f t="shared" si="238"/>
        <v>0</v>
      </c>
      <c r="CB65" s="453">
        <f>IF(CA65&gt;0,SQRT(AG65+AO65+AW65+BD65+BS65)/CA65,0)</f>
        <v>0</v>
      </c>
      <c r="CC65" s="45">
        <f t="shared" si="239"/>
        <v>0</v>
      </c>
    </row>
    <row r="66" spans="1:155">
      <c r="B66" s="285"/>
      <c r="C66" s="239"/>
      <c r="D66" s="239"/>
      <c r="E66" s="252"/>
      <c r="F66" s="241">
        <f>VLOOKUP($E66,$CD$138:$DH$504,2,FALSE)</f>
        <v>0</v>
      </c>
      <c r="G66" s="239"/>
      <c r="H66" s="239"/>
      <c r="I66" s="239"/>
      <c r="J66" s="239"/>
      <c r="K66" s="239"/>
      <c r="L66" s="239"/>
      <c r="M66" s="239"/>
      <c r="N66" s="239"/>
      <c r="O66" s="239"/>
      <c r="P66" s="239"/>
      <c r="Q66" s="239"/>
      <c r="R66" s="239"/>
      <c r="S66" s="242">
        <f t="shared" si="217"/>
        <v>0</v>
      </c>
      <c r="T66" s="243">
        <f t="shared" si="218"/>
        <v>0</v>
      </c>
      <c r="U66" s="242">
        <f t="shared" si="219"/>
        <v>0</v>
      </c>
      <c r="V66" s="242">
        <f t="shared" si="220"/>
        <v>0</v>
      </c>
      <c r="W66" s="242">
        <f>IF(T66&gt;1,VLOOKUP($T66,$CD$414:$CE$426,2,FALSE),0)</f>
        <v>0</v>
      </c>
      <c r="X66" s="244"/>
      <c r="Y66" s="449">
        <f>IF(X66&gt;0,X66,IF(T66&gt;1,1-((U66-((V66*W66)/(SQRT(T66))))/U66),VLOOKUP($E66,$CD$138:$DK$504,34,FALSE)))</f>
        <v>0</v>
      </c>
      <c r="Z66" s="245">
        <v>0</v>
      </c>
      <c r="AA66" s="246">
        <v>0</v>
      </c>
      <c r="AB66" s="450">
        <v>0</v>
      </c>
      <c r="AC66" s="449">
        <v>0</v>
      </c>
      <c r="AD66" s="451">
        <f t="shared" si="221"/>
        <v>0</v>
      </c>
      <c r="AE66" s="451">
        <f>AD66*$CE$432</f>
        <v>0</v>
      </c>
      <c r="AF66" s="449">
        <f t="shared" si="222"/>
        <v>0</v>
      </c>
      <c r="AG66" s="451">
        <f t="shared" si="223"/>
        <v>0</v>
      </c>
      <c r="AH66" s="250">
        <v>0</v>
      </c>
      <c r="AI66" s="246">
        <v>0</v>
      </c>
      <c r="AJ66" s="450">
        <v>0</v>
      </c>
      <c r="AK66" s="449">
        <v>0</v>
      </c>
      <c r="AL66" s="452">
        <f t="shared" si="224"/>
        <v>0</v>
      </c>
      <c r="AM66" s="452">
        <f>AL66*$CE$433</f>
        <v>0</v>
      </c>
      <c r="AN66" s="449">
        <f t="shared" si="225"/>
        <v>0</v>
      </c>
      <c r="AO66" s="451">
        <f t="shared" si="226"/>
        <v>0</v>
      </c>
      <c r="AP66" s="250">
        <v>0</v>
      </c>
      <c r="AQ66" s="246">
        <v>0</v>
      </c>
      <c r="AR66" s="450">
        <v>0</v>
      </c>
      <c r="AS66" s="449">
        <v>0</v>
      </c>
      <c r="AT66" s="452">
        <f>($S66*AP66)/1000</f>
        <v>0</v>
      </c>
      <c r="AU66" s="452">
        <f>AT66*$CE$434</f>
        <v>0</v>
      </c>
      <c r="AV66" s="449">
        <f t="shared" si="227"/>
        <v>0</v>
      </c>
      <c r="AW66" s="451">
        <f t="shared" si="228"/>
        <v>0</v>
      </c>
      <c r="AX66" s="248">
        <f>VLOOKUP($E66,$CD$138:$DH$504,3,FALSE)</f>
        <v>0</v>
      </c>
      <c r="AY66" s="246">
        <f>VLOOKUP($E66,$CD$138:$DH$504,4,FALSE)</f>
        <v>0</v>
      </c>
      <c r="AZ66" s="450">
        <f>IF($S66&gt;0,VLOOKUP($E66,$CD$138:$DH$504,7,FALSE),0)</f>
        <v>0</v>
      </c>
      <c r="BA66" s="449">
        <f>IF($S66&gt;0,VLOOKUP($E66,$CD$138:$DH$504,6,FALSE),0)</f>
        <v>0</v>
      </c>
      <c r="BB66" s="452">
        <f t="shared" si="229"/>
        <v>0</v>
      </c>
      <c r="BC66" s="449">
        <f t="shared" si="230"/>
        <v>0</v>
      </c>
      <c r="BD66" s="451">
        <f t="shared" si="231"/>
        <v>0</v>
      </c>
      <c r="BE66" s="248">
        <v>0</v>
      </c>
      <c r="BF66" s="246">
        <f>VLOOKUP($E66,$CD$138:$DH$504,4,FALSE)</f>
        <v>0</v>
      </c>
      <c r="BG66" s="450">
        <f>IF($S66&gt;0,VLOOKUP($E66,$CD$138:$DH$504,7,FALSE),0)</f>
        <v>0</v>
      </c>
      <c r="BH66" s="449">
        <f>IF($S66&gt;0,VLOOKUP($E66,$CD$138:$DH$504,6,FALSE),0)</f>
        <v>0</v>
      </c>
      <c r="BI66" s="452">
        <f t="shared" si="232"/>
        <v>0</v>
      </c>
      <c r="BJ66" s="449">
        <f t="shared" si="233"/>
        <v>0</v>
      </c>
      <c r="BK66" s="451">
        <f t="shared" si="178"/>
        <v>0</v>
      </c>
      <c r="BL66" s="248">
        <v>0</v>
      </c>
      <c r="BM66" s="246">
        <v>0</v>
      </c>
      <c r="BN66" s="450">
        <v>0</v>
      </c>
      <c r="BO66" s="449">
        <v>0</v>
      </c>
      <c r="BP66" s="452">
        <f t="shared" si="234"/>
        <v>0</v>
      </c>
      <c r="BQ66" s="452">
        <f>BP66*$CE$435</f>
        <v>0</v>
      </c>
      <c r="BR66" s="449">
        <f t="shared" si="235"/>
        <v>0</v>
      </c>
      <c r="BS66" s="451">
        <f t="shared" si="236"/>
        <v>0</v>
      </c>
      <c r="BT66" s="248">
        <v>0</v>
      </c>
      <c r="BU66" s="246">
        <v>0</v>
      </c>
      <c r="BV66" s="450">
        <v>0</v>
      </c>
      <c r="BW66" s="449">
        <v>0</v>
      </c>
      <c r="BX66" s="452">
        <v>0</v>
      </c>
      <c r="BY66" s="449">
        <v>0</v>
      </c>
      <c r="BZ66" s="451">
        <f t="shared" si="237"/>
        <v>0</v>
      </c>
      <c r="CA66" s="242">
        <f t="shared" si="238"/>
        <v>0</v>
      </c>
      <c r="CB66" s="453">
        <f>IF(CA66&gt;0,SQRT(AG66+AO66+AW66+BD66+BS66)/CA66,0)</f>
        <v>0</v>
      </c>
      <c r="CC66" s="45">
        <f t="shared" si="239"/>
        <v>0</v>
      </c>
    </row>
    <row r="67" spans="1:155">
      <c r="B67" s="286"/>
      <c r="C67" s="239"/>
      <c r="D67" s="239"/>
      <c r="E67" s="252"/>
      <c r="F67" s="241">
        <f>VLOOKUP($E67,$CD$138:$DH$504,2,FALSE)</f>
        <v>0</v>
      </c>
      <c r="G67" s="239"/>
      <c r="H67" s="239"/>
      <c r="I67" s="239"/>
      <c r="J67" s="239"/>
      <c r="K67" s="239"/>
      <c r="L67" s="239"/>
      <c r="M67" s="239"/>
      <c r="N67" s="239"/>
      <c r="O67" s="239"/>
      <c r="P67" s="239"/>
      <c r="Q67" s="239"/>
      <c r="R67" s="239"/>
      <c r="S67" s="242">
        <f t="shared" si="217"/>
        <v>0</v>
      </c>
      <c r="T67" s="243">
        <f t="shared" si="218"/>
        <v>0</v>
      </c>
      <c r="U67" s="242">
        <f t="shared" si="219"/>
        <v>0</v>
      </c>
      <c r="V67" s="242">
        <f t="shared" si="220"/>
        <v>0</v>
      </c>
      <c r="W67" s="242">
        <f>IF(T67&gt;1,VLOOKUP($T67,$CD$414:$CE$426,2,FALSE),0)</f>
        <v>0</v>
      </c>
      <c r="X67" s="244"/>
      <c r="Y67" s="449">
        <f>IF(X67&gt;0,X67,IF(T67&gt;1,1-((U67-((V67*W67)/(SQRT(T67))))/U67),VLOOKUP($E67,$CD$138:$DK$504,34,FALSE)))</f>
        <v>0</v>
      </c>
      <c r="Z67" s="245">
        <v>0</v>
      </c>
      <c r="AA67" s="246">
        <v>0</v>
      </c>
      <c r="AB67" s="450">
        <v>0</v>
      </c>
      <c r="AC67" s="449">
        <v>0</v>
      </c>
      <c r="AD67" s="451">
        <f t="shared" si="221"/>
        <v>0</v>
      </c>
      <c r="AE67" s="451">
        <f>AD67*$CE$432</f>
        <v>0</v>
      </c>
      <c r="AF67" s="449">
        <f t="shared" si="222"/>
        <v>0</v>
      </c>
      <c r="AG67" s="451">
        <f t="shared" si="223"/>
        <v>0</v>
      </c>
      <c r="AH67" s="250">
        <v>0</v>
      </c>
      <c r="AI67" s="246">
        <v>0</v>
      </c>
      <c r="AJ67" s="450">
        <v>0</v>
      </c>
      <c r="AK67" s="449">
        <v>0</v>
      </c>
      <c r="AL67" s="452">
        <f t="shared" si="224"/>
        <v>0</v>
      </c>
      <c r="AM67" s="452">
        <f>AL67*$CE$433</f>
        <v>0</v>
      </c>
      <c r="AN67" s="449">
        <f t="shared" si="225"/>
        <v>0</v>
      </c>
      <c r="AO67" s="451">
        <f t="shared" si="226"/>
        <v>0</v>
      </c>
      <c r="AP67" s="250">
        <v>0</v>
      </c>
      <c r="AQ67" s="246">
        <v>0</v>
      </c>
      <c r="AR67" s="450">
        <v>0</v>
      </c>
      <c r="AS67" s="449">
        <v>0</v>
      </c>
      <c r="AT67" s="452">
        <f>($S67*AP67)/1000</f>
        <v>0</v>
      </c>
      <c r="AU67" s="452">
        <f>AT67*$CE$434</f>
        <v>0</v>
      </c>
      <c r="AV67" s="449">
        <f t="shared" si="227"/>
        <v>0</v>
      </c>
      <c r="AW67" s="451">
        <f t="shared" si="228"/>
        <v>0</v>
      </c>
      <c r="AX67" s="248">
        <f>VLOOKUP($E67,$CD$138:$DH$504,3,FALSE)</f>
        <v>0</v>
      </c>
      <c r="AY67" s="246">
        <f>VLOOKUP($E67,$CD$138:$DH$504,4,FALSE)</f>
        <v>0</v>
      </c>
      <c r="AZ67" s="450">
        <f>IF($S67&gt;0,VLOOKUP($E67,$CD$138:$DH$504,7,FALSE),0)</f>
        <v>0</v>
      </c>
      <c r="BA67" s="449">
        <f>IF($S67&gt;0,VLOOKUP($E67,$CD$138:$DH$504,6,FALSE),0)</f>
        <v>0</v>
      </c>
      <c r="BB67" s="452">
        <f t="shared" si="229"/>
        <v>0</v>
      </c>
      <c r="BC67" s="449">
        <f t="shared" si="230"/>
        <v>0</v>
      </c>
      <c r="BD67" s="451">
        <f t="shared" si="231"/>
        <v>0</v>
      </c>
      <c r="BE67" s="248">
        <v>0</v>
      </c>
      <c r="BF67" s="246">
        <f>VLOOKUP($E67,$CD$138:$DH$504,4,FALSE)</f>
        <v>0</v>
      </c>
      <c r="BG67" s="450">
        <f>IF($S67&gt;0,VLOOKUP($E67,$CD$138:$DH$504,7,FALSE),0)</f>
        <v>0</v>
      </c>
      <c r="BH67" s="449">
        <f>IF($S67&gt;0,VLOOKUP($E67,$CD$138:$DH$504,6,FALSE),0)</f>
        <v>0</v>
      </c>
      <c r="BI67" s="452">
        <f t="shared" si="232"/>
        <v>0</v>
      </c>
      <c r="BJ67" s="449">
        <f t="shared" si="233"/>
        <v>0</v>
      </c>
      <c r="BK67" s="451">
        <f t="shared" si="178"/>
        <v>0</v>
      </c>
      <c r="BL67" s="248">
        <v>0</v>
      </c>
      <c r="BM67" s="246">
        <v>0</v>
      </c>
      <c r="BN67" s="450">
        <v>0</v>
      </c>
      <c r="BO67" s="449">
        <v>0</v>
      </c>
      <c r="BP67" s="452">
        <f t="shared" si="234"/>
        <v>0</v>
      </c>
      <c r="BQ67" s="452">
        <f>BP67*$CE$435</f>
        <v>0</v>
      </c>
      <c r="BR67" s="449">
        <f t="shared" si="235"/>
        <v>0</v>
      </c>
      <c r="BS67" s="451">
        <f t="shared" si="236"/>
        <v>0</v>
      </c>
      <c r="BT67" s="248">
        <v>0</v>
      </c>
      <c r="BU67" s="246">
        <v>0</v>
      </c>
      <c r="BV67" s="450">
        <v>0</v>
      </c>
      <c r="BW67" s="449">
        <v>0</v>
      </c>
      <c r="BX67" s="452">
        <v>0</v>
      </c>
      <c r="BY67" s="449">
        <v>0</v>
      </c>
      <c r="BZ67" s="451">
        <f t="shared" si="237"/>
        <v>0</v>
      </c>
      <c r="CA67" s="242">
        <f t="shared" si="238"/>
        <v>0</v>
      </c>
      <c r="CB67" s="453">
        <f>IF(CA67&gt;0,SQRT(AG67+AO67+AW67+BD67+BS67)/CA67,0)</f>
        <v>0</v>
      </c>
      <c r="CC67" s="45">
        <f t="shared" si="239"/>
        <v>0</v>
      </c>
    </row>
    <row r="68" spans="1:155">
      <c r="B68" s="455" t="s">
        <v>253</v>
      </c>
      <c r="C68" s="470"/>
      <c r="D68" s="470"/>
      <c r="E68" s="456"/>
      <c r="F68" s="456"/>
      <c r="G68" s="457"/>
      <c r="H68" s="457"/>
      <c r="I68" s="457"/>
      <c r="J68" s="457"/>
      <c r="K68" s="457"/>
      <c r="L68" s="457"/>
      <c r="M68" s="457"/>
      <c r="N68" s="457"/>
      <c r="O68" s="457"/>
      <c r="P68" s="457"/>
      <c r="Q68" s="457"/>
      <c r="R68" s="457"/>
      <c r="S68" s="456"/>
      <c r="T68" s="456"/>
      <c r="U68" s="456"/>
      <c r="V68" s="456"/>
      <c r="W68" s="456"/>
      <c r="X68" s="458"/>
      <c r="Y68" s="456"/>
      <c r="Z68" s="456"/>
      <c r="AA68" s="456"/>
      <c r="AB68" s="460"/>
      <c r="AC68" s="456"/>
      <c r="AD68" s="461"/>
      <c r="AE68" s="462">
        <f>SUM(AE64:AE67)</f>
        <v>0</v>
      </c>
      <c r="AF68" s="463">
        <f>IF(AE68&gt;0,SQRT(SUM(AG64:AG67))/AE68,0)</f>
        <v>0</v>
      </c>
      <c r="AG68" s="462">
        <f t="shared" si="223"/>
        <v>0</v>
      </c>
      <c r="AH68" s="464"/>
      <c r="AI68" s="456"/>
      <c r="AJ68" s="465"/>
      <c r="AK68" s="456"/>
      <c r="AL68" s="466"/>
      <c r="AM68" s="462">
        <f>SUM(AM64:AM67)</f>
        <v>0</v>
      </c>
      <c r="AN68" s="463">
        <f>IF(AM68&gt;0,SQRT(SUM(AO64:AO67))/AM68,0)</f>
        <v>0</v>
      </c>
      <c r="AO68" s="462">
        <f t="shared" si="226"/>
        <v>0</v>
      </c>
      <c r="AP68" s="456"/>
      <c r="AQ68" s="456"/>
      <c r="AR68" s="465"/>
      <c r="AS68" s="456"/>
      <c r="AT68" s="456"/>
      <c r="AU68" s="462">
        <f>SUM(AU64:AU67)</f>
        <v>0</v>
      </c>
      <c r="AV68" s="463">
        <f>IF(AU68&gt;0,SQRT(SUM(AW64:AW67))/AU68,0)</f>
        <v>0</v>
      </c>
      <c r="AW68" s="462">
        <f t="shared" si="228"/>
        <v>0</v>
      </c>
      <c r="AX68" s="456"/>
      <c r="AY68" s="456"/>
      <c r="AZ68" s="465"/>
      <c r="BA68" s="456"/>
      <c r="BB68" s="462">
        <f>SUM(BB64:BB67)</f>
        <v>0</v>
      </c>
      <c r="BC68" s="463">
        <f>IF(BB68&gt;0,SQRT(SUM(BD64:BD67))/BB68,0)</f>
        <v>0</v>
      </c>
      <c r="BD68" s="462">
        <f t="shared" si="231"/>
        <v>0</v>
      </c>
      <c r="BE68" s="456"/>
      <c r="BF68" s="456"/>
      <c r="BG68" s="465"/>
      <c r="BH68" s="456"/>
      <c r="BI68" s="462">
        <f>SUM(BI64:BI67)</f>
        <v>0</v>
      </c>
      <c r="BJ68" s="463">
        <f>IF(BI68&gt;0,SQRT(SUM(BK64:BK67))/BI68,0)</f>
        <v>0</v>
      </c>
      <c r="BK68" s="462">
        <f t="shared" si="178"/>
        <v>0</v>
      </c>
      <c r="BL68" s="456"/>
      <c r="BM68" s="456"/>
      <c r="BN68" s="460"/>
      <c r="BO68" s="467"/>
      <c r="BP68" s="468"/>
      <c r="BQ68" s="462">
        <f>SUM(BQ64:BQ67)</f>
        <v>0</v>
      </c>
      <c r="BR68" s="463">
        <f>IF(BQ68&gt;0,SQRT(SUM(BS64:BS67))/BQ68,0)</f>
        <v>0</v>
      </c>
      <c r="BS68" s="462">
        <f t="shared" si="236"/>
        <v>0</v>
      </c>
      <c r="BT68" s="456"/>
      <c r="BU68" s="456"/>
      <c r="BV68" s="460"/>
      <c r="BW68" s="467"/>
      <c r="BX68" s="462">
        <f>SUM(BX64:BX67)</f>
        <v>0</v>
      </c>
      <c r="BY68" s="463">
        <f>IF(BX68&gt;0,SQRT(SUM(BZ64:BZ67))/BX68,0)</f>
        <v>0</v>
      </c>
      <c r="BZ68" s="462">
        <f t="shared" si="237"/>
        <v>0</v>
      </c>
      <c r="CA68" s="462">
        <f>SUM(CA64:CA67)</f>
        <v>0</v>
      </c>
      <c r="CB68" s="469">
        <f>IF(CA68&gt;0,SQRT(SUM(CC64:CC67))/CA68,0)</f>
        <v>0</v>
      </c>
      <c r="CC68" s="45">
        <f t="shared" si="239"/>
        <v>0</v>
      </c>
    </row>
    <row r="69" spans="1:155">
      <c r="B69" s="238" t="s">
        <v>254</v>
      </c>
      <c r="C69" s="239"/>
      <c r="D69" s="239"/>
      <c r="E69" s="240"/>
      <c r="F69" s="241">
        <f t="shared" ref="F69:F75" si="240">VLOOKUP($E69,$CD$138:$DH$504,2,FALSE)</f>
        <v>0</v>
      </c>
      <c r="G69" s="239"/>
      <c r="H69" s="239"/>
      <c r="I69" s="239"/>
      <c r="J69" s="239"/>
      <c r="K69" s="239"/>
      <c r="L69" s="239"/>
      <c r="M69" s="239"/>
      <c r="N69" s="239"/>
      <c r="O69" s="239"/>
      <c r="P69" s="239"/>
      <c r="Q69" s="239"/>
      <c r="R69" s="239"/>
      <c r="S69" s="242">
        <f t="shared" ref="S69:S72" si="241">SUM(G69:R69)</f>
        <v>0</v>
      </c>
      <c r="T69" s="243">
        <f t="shared" ref="T69:T72" si="242">COUNT(G69:R69)</f>
        <v>0</v>
      </c>
      <c r="U69" s="242">
        <f t="shared" ref="U69:U72" si="243">IF(T69&gt;1,AVERAGE(G69:R69),0)</f>
        <v>0</v>
      </c>
      <c r="V69" s="242">
        <f t="shared" ref="V69:V72" si="244">IF(T69&gt;1,STDEV(G69:R69),0)</f>
        <v>0</v>
      </c>
      <c r="W69" s="242">
        <f t="shared" ref="W69:W75" si="245">IF(T69&gt;1,VLOOKUP($T69,$CD$414:$CE$426,2,FALSE),0)</f>
        <v>0</v>
      </c>
      <c r="X69" s="244"/>
      <c r="Y69" s="449">
        <f t="shared" ref="Y69:Y75" si="246">IF(X69&gt;0,X69,IF(T69&gt;1,1-((U69-((V69*W69)/(SQRT(T69))))/U69),VLOOKUP($E69,$CD$138:$DK$504,34,FALSE)))</f>
        <v>0</v>
      </c>
      <c r="Z69" s="248">
        <v>0</v>
      </c>
      <c r="AA69" s="246">
        <v>0</v>
      </c>
      <c r="AB69" s="450">
        <v>0</v>
      </c>
      <c r="AC69" s="449">
        <v>0</v>
      </c>
      <c r="AD69" s="451">
        <f t="shared" ref="AD69:AD72" si="247">($S69*Z69)/1000</f>
        <v>0</v>
      </c>
      <c r="AE69" s="451">
        <f t="shared" ref="AE69:AE75" si="248">AD69*$CE$432</f>
        <v>0</v>
      </c>
      <c r="AF69" s="449">
        <f t="shared" ref="AF69:AF71" si="249">IF(AD69&gt;0,SQRT(($Y69*$Y69)+(AC69*AC69)),0)</f>
        <v>0</v>
      </c>
      <c r="AG69" s="449">
        <f t="shared" ref="AG69" si="250">IF(AE69&gt;0,SQRT(($Y69*$Y69)+(AD69*AD69)),0)</f>
        <v>0</v>
      </c>
      <c r="AH69" s="250">
        <f>VLOOKUP($E69,$CD$138:$DH$504,3,FALSE)</f>
        <v>0</v>
      </c>
      <c r="AI69" s="246">
        <f>VLOOKUP($E69,$CD$138:$DH$504,4,FALSE)</f>
        <v>0</v>
      </c>
      <c r="AJ69" s="473">
        <f>IF($S69&gt;0,VLOOKUP($E69,$CD$138:$DH$504,7,FALSE),0)</f>
        <v>0</v>
      </c>
      <c r="AK69" s="449">
        <f>IF($S69&gt;0,VLOOKUP($E69,$CD$138:$DH$504,6,FALSE),0)</f>
        <v>0</v>
      </c>
      <c r="AL69" s="451">
        <f t="shared" ref="AL69:AL72" si="251">($S69*AH69)/1000</f>
        <v>0</v>
      </c>
      <c r="AM69" s="452">
        <f t="shared" ref="AM69:AM75" si="252">AL69*$CE$433</f>
        <v>0</v>
      </c>
      <c r="AN69" s="449">
        <f t="shared" ref="AN69:AN71" si="253">IF(AL69&gt;0,SQRT(($Y69*$Y69)+(AK69*AK69)),0)</f>
        <v>0</v>
      </c>
      <c r="AO69" s="451">
        <f t="shared" si="212"/>
        <v>0</v>
      </c>
      <c r="AP69" s="250">
        <v>0</v>
      </c>
      <c r="AQ69" s="246">
        <v>0</v>
      </c>
      <c r="AR69" s="450">
        <v>0</v>
      </c>
      <c r="AS69" s="449">
        <v>0</v>
      </c>
      <c r="AT69" s="452">
        <f t="shared" ref="AT69:AT75" si="254">($S69*AP69)/1000</f>
        <v>0</v>
      </c>
      <c r="AU69" s="452">
        <f t="shared" ref="AU69:AU75" si="255">AT69*$CE$434</f>
        <v>0</v>
      </c>
      <c r="AV69" s="449">
        <f t="shared" ref="AV69:AV71" si="256">IF(AT69&gt;0,SQRT(($Y69*$Y69)+(AS69*AS69)),0)</f>
        <v>0</v>
      </c>
      <c r="AW69" s="449">
        <f t="shared" ref="AW69" si="257">IF(AU69&gt;0,SQRT(($Y69*$Y69)+(AT69*AT69)),0)</f>
        <v>0</v>
      </c>
      <c r="AX69" s="248">
        <v>0</v>
      </c>
      <c r="AY69" s="246">
        <v>0</v>
      </c>
      <c r="AZ69" s="450">
        <v>0</v>
      </c>
      <c r="BA69" s="449">
        <v>0</v>
      </c>
      <c r="BB69" s="452">
        <v>0</v>
      </c>
      <c r="BC69" s="449">
        <f t="shared" ref="BC69:BC71" si="258">IF(BB69&gt;0,SQRT(($Y69*$Y69)+(BA69*BA69)),0)</f>
        <v>0</v>
      </c>
      <c r="BD69" s="451">
        <f t="shared" si="214"/>
        <v>0</v>
      </c>
      <c r="BE69" s="248">
        <v>0</v>
      </c>
      <c r="BF69" s="246">
        <v>0</v>
      </c>
      <c r="BG69" s="450">
        <v>0</v>
      </c>
      <c r="BH69" s="449">
        <v>0</v>
      </c>
      <c r="BI69" s="452">
        <v>0</v>
      </c>
      <c r="BJ69" s="449">
        <f t="shared" ref="BJ69:BJ71" si="259">IF(BI69&gt;0,SQRT(($Y69*$Y69)+(BH69*BH69)),0)</f>
        <v>0</v>
      </c>
      <c r="BK69" s="451">
        <f t="shared" si="178"/>
        <v>0</v>
      </c>
      <c r="BL69" s="248">
        <v>0</v>
      </c>
      <c r="BM69" s="246">
        <v>0</v>
      </c>
      <c r="BN69" s="450">
        <v>0</v>
      </c>
      <c r="BO69" s="449">
        <v>0</v>
      </c>
      <c r="BP69" s="452">
        <f t="shared" ref="BP69:BP72" si="260">($S69*BL69)/1000</f>
        <v>0</v>
      </c>
      <c r="BQ69" s="452">
        <f>BP69*$CE$435</f>
        <v>0</v>
      </c>
      <c r="BR69" s="449">
        <f t="shared" ref="BR69:BR71" si="261">IF(BP69&gt;0,SQRT(($Y69*$Y69)+(BO69*BO69)),0)</f>
        <v>0</v>
      </c>
      <c r="BS69" s="451">
        <f t="shared" si="215"/>
        <v>0</v>
      </c>
      <c r="BT69" s="248">
        <v>0</v>
      </c>
      <c r="BU69" s="246">
        <v>0</v>
      </c>
      <c r="BV69" s="450">
        <v>0</v>
      </c>
      <c r="BW69" s="449">
        <v>0</v>
      </c>
      <c r="BX69" s="452">
        <v>0</v>
      </c>
      <c r="BY69" s="449">
        <v>0</v>
      </c>
      <c r="BZ69" s="451">
        <f t="shared" si="183"/>
        <v>0</v>
      </c>
      <c r="CA69" s="242">
        <f t="shared" ref="CA69:CA75" si="262">IF(C69="EmisionesGEI",D69,AE69+AM69+AU69+BB69+BQ69)</f>
        <v>0</v>
      </c>
      <c r="CB69" s="453">
        <f t="shared" ref="CB69:CB75" si="263">IF(CA69&gt;0,SQRT(AG69+AO69+AW69+BD69+BS69)/CA69,0)</f>
        <v>0</v>
      </c>
      <c r="CC69" s="45">
        <f t="shared" si="216"/>
        <v>0</v>
      </c>
    </row>
    <row r="70" spans="1:155" ht="16.149999999999999">
      <c r="B70" s="287" t="s">
        <v>255</v>
      </c>
      <c r="C70" s="239"/>
      <c r="D70" s="239"/>
      <c r="E70" s="252"/>
      <c r="F70" s="241">
        <f t="shared" si="240"/>
        <v>0</v>
      </c>
      <c r="G70" s="239"/>
      <c r="H70" s="239"/>
      <c r="I70" s="239"/>
      <c r="J70" s="239"/>
      <c r="K70" s="239"/>
      <c r="L70" s="239"/>
      <c r="M70" s="239"/>
      <c r="N70" s="239"/>
      <c r="O70" s="239"/>
      <c r="P70" s="239"/>
      <c r="Q70" s="239"/>
      <c r="R70" s="239"/>
      <c r="S70" s="242">
        <f t="shared" si="241"/>
        <v>0</v>
      </c>
      <c r="T70" s="243">
        <f t="shared" si="242"/>
        <v>0</v>
      </c>
      <c r="U70" s="242">
        <f t="shared" si="243"/>
        <v>0</v>
      </c>
      <c r="V70" s="242">
        <f t="shared" si="244"/>
        <v>0</v>
      </c>
      <c r="W70" s="242">
        <f t="shared" si="245"/>
        <v>0</v>
      </c>
      <c r="X70" s="244"/>
      <c r="Y70" s="449">
        <f t="shared" si="246"/>
        <v>0</v>
      </c>
      <c r="Z70" s="245">
        <f>VLOOKUP($E70,$CD$138:$DH$504,3,FALSE)</f>
        <v>0</v>
      </c>
      <c r="AA70" s="246">
        <f>VLOOKUP($E70,$CD$138:$DH$504,4,FALSE)</f>
        <v>0</v>
      </c>
      <c r="AB70" s="450">
        <f>IF($S70&gt;0,VLOOKUP($E70,$CD$138:$DH$504,7,FALSE),0)</f>
        <v>0</v>
      </c>
      <c r="AC70" s="449">
        <f>IF($S70&gt;0,VLOOKUP($E70,$CD$138:$DH$504,6,FALSE),0)</f>
        <v>0</v>
      </c>
      <c r="AD70" s="451">
        <f t="shared" si="247"/>
        <v>0</v>
      </c>
      <c r="AE70" s="451">
        <f t="shared" si="248"/>
        <v>0</v>
      </c>
      <c r="AF70" s="449">
        <f t="shared" si="249"/>
        <v>0</v>
      </c>
      <c r="AG70" s="451">
        <f>(AE70*AF70)^2</f>
        <v>0</v>
      </c>
      <c r="AH70" s="250">
        <v>0</v>
      </c>
      <c r="AI70" s="246">
        <v>0</v>
      </c>
      <c r="AJ70" s="450">
        <v>0</v>
      </c>
      <c r="AK70" s="449">
        <v>0</v>
      </c>
      <c r="AL70" s="452">
        <f t="shared" si="251"/>
        <v>0</v>
      </c>
      <c r="AM70" s="452">
        <f t="shared" si="252"/>
        <v>0</v>
      </c>
      <c r="AN70" s="449">
        <f t="shared" si="253"/>
        <v>0</v>
      </c>
      <c r="AO70" s="451">
        <f t="shared" si="212"/>
        <v>0</v>
      </c>
      <c r="AP70" s="250">
        <v>0</v>
      </c>
      <c r="AQ70" s="246">
        <v>0</v>
      </c>
      <c r="AR70" s="450">
        <v>0</v>
      </c>
      <c r="AS70" s="449">
        <v>0</v>
      </c>
      <c r="AT70" s="452">
        <f t="shared" si="254"/>
        <v>0</v>
      </c>
      <c r="AU70" s="452">
        <f t="shared" si="255"/>
        <v>0</v>
      </c>
      <c r="AV70" s="449">
        <f t="shared" si="256"/>
        <v>0</v>
      </c>
      <c r="AW70" s="451">
        <f>(AU70*AV70)^2</f>
        <v>0</v>
      </c>
      <c r="AX70" s="248">
        <v>0</v>
      </c>
      <c r="AY70" s="246">
        <v>0</v>
      </c>
      <c r="AZ70" s="450">
        <v>0</v>
      </c>
      <c r="BA70" s="449">
        <v>0</v>
      </c>
      <c r="BB70" s="452">
        <f>($S70*AX70)/1000</f>
        <v>0</v>
      </c>
      <c r="BC70" s="449">
        <f t="shared" si="258"/>
        <v>0</v>
      </c>
      <c r="BD70" s="451">
        <f t="shared" si="214"/>
        <v>0</v>
      </c>
      <c r="BE70" s="248">
        <v>0</v>
      </c>
      <c r="BF70" s="246">
        <v>0</v>
      </c>
      <c r="BG70" s="450">
        <v>0</v>
      </c>
      <c r="BH70" s="449">
        <v>0</v>
      </c>
      <c r="BI70" s="452">
        <f>($S70*BE70)/1000</f>
        <v>0</v>
      </c>
      <c r="BJ70" s="449">
        <f t="shared" si="259"/>
        <v>0</v>
      </c>
      <c r="BK70" s="451">
        <f t="shared" si="178"/>
        <v>0</v>
      </c>
      <c r="BL70" s="248">
        <v>0</v>
      </c>
      <c r="BM70" s="246">
        <v>0</v>
      </c>
      <c r="BN70" s="450">
        <v>0</v>
      </c>
      <c r="BO70" s="449">
        <v>0</v>
      </c>
      <c r="BP70" s="452">
        <f t="shared" si="260"/>
        <v>0</v>
      </c>
      <c r="BQ70" s="452">
        <f>BP70*$CE$435</f>
        <v>0</v>
      </c>
      <c r="BR70" s="449">
        <f t="shared" si="261"/>
        <v>0</v>
      </c>
      <c r="BS70" s="451">
        <f t="shared" si="215"/>
        <v>0</v>
      </c>
      <c r="BT70" s="248">
        <v>0</v>
      </c>
      <c r="BU70" s="246">
        <v>0</v>
      </c>
      <c r="BV70" s="450">
        <v>0</v>
      </c>
      <c r="BW70" s="449">
        <v>0</v>
      </c>
      <c r="BX70" s="452">
        <v>0</v>
      </c>
      <c r="BY70" s="449">
        <v>0</v>
      </c>
      <c r="BZ70" s="451">
        <f t="shared" si="183"/>
        <v>0</v>
      </c>
      <c r="CA70" s="242">
        <f t="shared" si="262"/>
        <v>0</v>
      </c>
      <c r="CB70" s="453">
        <f t="shared" si="263"/>
        <v>0</v>
      </c>
      <c r="CC70" s="45">
        <f t="shared" si="216"/>
        <v>0</v>
      </c>
    </row>
    <row r="71" spans="1:155">
      <c r="B71" s="287" t="s">
        <v>256</v>
      </c>
      <c r="C71" s="239"/>
      <c r="D71" s="239"/>
      <c r="E71" s="252"/>
      <c r="F71" s="241">
        <f t="shared" si="240"/>
        <v>0</v>
      </c>
      <c r="G71" s="239"/>
      <c r="H71" s="239"/>
      <c r="I71" s="239"/>
      <c r="J71" s="239"/>
      <c r="K71" s="239"/>
      <c r="L71" s="239"/>
      <c r="M71" s="239"/>
      <c r="N71" s="239"/>
      <c r="O71" s="239"/>
      <c r="P71" s="239"/>
      <c r="Q71" s="239"/>
      <c r="R71" s="239"/>
      <c r="S71" s="242">
        <f t="shared" si="241"/>
        <v>0</v>
      </c>
      <c r="T71" s="243">
        <f t="shared" si="242"/>
        <v>0</v>
      </c>
      <c r="U71" s="242">
        <f t="shared" si="243"/>
        <v>0</v>
      </c>
      <c r="V71" s="242">
        <f t="shared" si="244"/>
        <v>0</v>
      </c>
      <c r="W71" s="242">
        <f t="shared" si="245"/>
        <v>0</v>
      </c>
      <c r="X71" s="244"/>
      <c r="Y71" s="449">
        <f t="shared" si="246"/>
        <v>0</v>
      </c>
      <c r="Z71" s="245">
        <v>0</v>
      </c>
      <c r="AA71" s="246">
        <v>0</v>
      </c>
      <c r="AB71" s="450">
        <v>0</v>
      </c>
      <c r="AC71" s="449">
        <v>0</v>
      </c>
      <c r="AD71" s="451">
        <f t="shared" si="247"/>
        <v>0</v>
      </c>
      <c r="AE71" s="451">
        <f t="shared" si="248"/>
        <v>0</v>
      </c>
      <c r="AF71" s="449">
        <f t="shared" si="249"/>
        <v>0</v>
      </c>
      <c r="AG71" s="451">
        <f>(AE71*AF71)^2</f>
        <v>0</v>
      </c>
      <c r="AH71" s="250">
        <v>0</v>
      </c>
      <c r="AI71" s="246">
        <v>0</v>
      </c>
      <c r="AJ71" s="450">
        <v>0</v>
      </c>
      <c r="AK71" s="449">
        <v>0</v>
      </c>
      <c r="AL71" s="452">
        <f t="shared" si="251"/>
        <v>0</v>
      </c>
      <c r="AM71" s="452">
        <f t="shared" si="252"/>
        <v>0</v>
      </c>
      <c r="AN71" s="449">
        <f t="shared" si="253"/>
        <v>0</v>
      </c>
      <c r="AO71" s="451">
        <f t="shared" si="212"/>
        <v>0</v>
      </c>
      <c r="AP71" s="250">
        <v>0</v>
      </c>
      <c r="AQ71" s="246">
        <v>0</v>
      </c>
      <c r="AR71" s="450">
        <v>0</v>
      </c>
      <c r="AS71" s="449">
        <v>0</v>
      </c>
      <c r="AT71" s="452">
        <f t="shared" si="254"/>
        <v>0</v>
      </c>
      <c r="AU71" s="452">
        <f t="shared" si="255"/>
        <v>0</v>
      </c>
      <c r="AV71" s="449">
        <f t="shared" si="256"/>
        <v>0</v>
      </c>
      <c r="AW71" s="451">
        <f>(AU71*AV71)^2</f>
        <v>0</v>
      </c>
      <c r="AX71" s="248">
        <v>0</v>
      </c>
      <c r="AY71" s="246">
        <v>0</v>
      </c>
      <c r="AZ71" s="450">
        <v>0</v>
      </c>
      <c r="BA71" s="449">
        <v>0</v>
      </c>
      <c r="BB71" s="452">
        <f>($S71*AX71)/1000</f>
        <v>0</v>
      </c>
      <c r="BC71" s="449">
        <f t="shared" si="258"/>
        <v>0</v>
      </c>
      <c r="BD71" s="451">
        <f t="shared" si="214"/>
        <v>0</v>
      </c>
      <c r="BE71" s="248">
        <v>0</v>
      </c>
      <c r="BF71" s="246">
        <v>0</v>
      </c>
      <c r="BG71" s="450">
        <v>0</v>
      </c>
      <c r="BH71" s="449">
        <v>0</v>
      </c>
      <c r="BI71" s="452">
        <f>($S71*BE71)/1000</f>
        <v>0</v>
      </c>
      <c r="BJ71" s="449">
        <f t="shared" si="259"/>
        <v>0</v>
      </c>
      <c r="BK71" s="451">
        <f t="shared" si="178"/>
        <v>0</v>
      </c>
      <c r="BL71" s="245">
        <f>VLOOKUP($E71,$CD$138:$DH$504,3,FALSE)</f>
        <v>0</v>
      </c>
      <c r="BM71" s="246">
        <f>VLOOKUP($E71,$CD$138:$DH$504,4,FALSE)</f>
        <v>0</v>
      </c>
      <c r="BN71" s="450">
        <f>IF($S71&gt;0,VLOOKUP($E71,$CD$138:$DH$504,7,FALSE),0)</f>
        <v>0</v>
      </c>
      <c r="BO71" s="449">
        <f>IF($S71&gt;0,VLOOKUP($E71,$CD$138:$DH$504,6,FALSE),0)</f>
        <v>0</v>
      </c>
      <c r="BP71" s="452">
        <f t="shared" si="260"/>
        <v>0</v>
      </c>
      <c r="BQ71" s="452">
        <f>BP71</f>
        <v>0</v>
      </c>
      <c r="BR71" s="449">
        <f t="shared" si="261"/>
        <v>0</v>
      </c>
      <c r="BS71" s="451">
        <f t="shared" si="215"/>
        <v>0</v>
      </c>
      <c r="BT71" s="245">
        <v>0</v>
      </c>
      <c r="BU71" s="246">
        <v>0</v>
      </c>
      <c r="BV71" s="450">
        <v>0</v>
      </c>
      <c r="BW71" s="449">
        <v>0</v>
      </c>
      <c r="BX71" s="452">
        <v>0</v>
      </c>
      <c r="BY71" s="449">
        <v>0</v>
      </c>
      <c r="BZ71" s="451">
        <f t="shared" si="183"/>
        <v>0</v>
      </c>
      <c r="CA71" s="242">
        <f t="shared" si="262"/>
        <v>0</v>
      </c>
      <c r="CB71" s="453">
        <f t="shared" si="263"/>
        <v>0</v>
      </c>
      <c r="CC71" s="45">
        <f t="shared" si="216"/>
        <v>0</v>
      </c>
    </row>
    <row r="72" spans="1:155">
      <c r="B72" s="557" t="s">
        <v>257</v>
      </c>
      <c r="C72" s="239"/>
      <c r="D72" s="239"/>
      <c r="E72" s="252"/>
      <c r="F72" s="241">
        <f t="shared" si="240"/>
        <v>0</v>
      </c>
      <c r="G72" s="239"/>
      <c r="H72" s="239"/>
      <c r="I72" s="239"/>
      <c r="J72" s="239"/>
      <c r="K72" s="239"/>
      <c r="L72" s="239"/>
      <c r="M72" s="239"/>
      <c r="N72" s="239"/>
      <c r="O72" s="239"/>
      <c r="P72" s="239"/>
      <c r="Q72" s="239"/>
      <c r="R72" s="239"/>
      <c r="S72" s="242">
        <f t="shared" si="241"/>
        <v>0</v>
      </c>
      <c r="T72" s="243">
        <f t="shared" si="242"/>
        <v>0</v>
      </c>
      <c r="U72" s="242">
        <f t="shared" si="243"/>
        <v>0</v>
      </c>
      <c r="V72" s="242">
        <f t="shared" si="244"/>
        <v>0</v>
      </c>
      <c r="W72" s="242">
        <f t="shared" si="245"/>
        <v>0</v>
      </c>
      <c r="X72" s="244"/>
      <c r="Y72" s="449">
        <f t="shared" si="246"/>
        <v>0</v>
      </c>
      <c r="Z72" s="248">
        <v>0</v>
      </c>
      <c r="AA72" s="246">
        <v>0</v>
      </c>
      <c r="AB72" s="450">
        <v>0</v>
      </c>
      <c r="AC72" s="449">
        <v>0</v>
      </c>
      <c r="AD72" s="451">
        <f t="shared" si="247"/>
        <v>0</v>
      </c>
      <c r="AE72" s="451">
        <f t="shared" si="248"/>
        <v>0</v>
      </c>
      <c r="AF72" s="449">
        <f t="shared" ref="AF72:AF75" si="264">IF(AD72&gt;0,SQRT(($Y72*$Y72)+(AC72*AC72)),0)</f>
        <v>0</v>
      </c>
      <c r="AG72" s="451">
        <f>(AE72*AF72)^2</f>
        <v>0</v>
      </c>
      <c r="AH72" s="247">
        <f>VLOOKUP($E72,$CD$138:$DH$504,3,FALSE)</f>
        <v>0</v>
      </c>
      <c r="AI72" s="246">
        <f>VLOOKUP($E72,$CD$138:$DH$504,4,FALSE)</f>
        <v>0</v>
      </c>
      <c r="AJ72" s="450">
        <f>IF($S72&gt;0,VLOOKUP($E72,$CD$138:$DH$504,7,FALSE),0)</f>
        <v>0</v>
      </c>
      <c r="AK72" s="449">
        <f>IF($S72&gt;0,VLOOKUP($E72,$CD$138:$DH$504,6,FALSE),0)</f>
        <v>0</v>
      </c>
      <c r="AL72" s="451">
        <f t="shared" si="251"/>
        <v>0</v>
      </c>
      <c r="AM72" s="452">
        <f t="shared" si="252"/>
        <v>0</v>
      </c>
      <c r="AN72" s="449">
        <f t="shared" ref="AN72:AN75" si="265">IF(AL72&gt;0,SQRT(($Y72*$Y72)+(AK72*AK72)),0)</f>
        <v>0</v>
      </c>
      <c r="AO72" s="451">
        <f t="shared" si="212"/>
        <v>0</v>
      </c>
      <c r="AP72" s="250">
        <f>VLOOKUP($E72,$CD$138:$DH$504,9,FALSE)</f>
        <v>0</v>
      </c>
      <c r="AQ72" s="246">
        <f>VLOOKUP($E72,$CD$138:$DH$504,10,FALSE)</f>
        <v>0</v>
      </c>
      <c r="AR72" s="450">
        <f>IF($S72&gt;0,VLOOKUP($E72,$CD$138:$DH$504,13,FALSE),0)</f>
        <v>0</v>
      </c>
      <c r="AS72" s="449">
        <f>IF($S72&gt;0,VLOOKUP($E72,$CD$138:$DH$504,12,FALSE),0)</f>
        <v>0</v>
      </c>
      <c r="AT72" s="452">
        <f t="shared" si="254"/>
        <v>0</v>
      </c>
      <c r="AU72" s="452">
        <f t="shared" si="255"/>
        <v>0</v>
      </c>
      <c r="AV72" s="449">
        <f t="shared" ref="AV72:AV75" si="266">IF(AT72&gt;0,SQRT(($Y72*$Y72)+(AS72*AS72)),0)</f>
        <v>0</v>
      </c>
      <c r="AW72" s="451">
        <f>(AU72*AV72)^2</f>
        <v>0</v>
      </c>
      <c r="AX72" s="248">
        <v>0</v>
      </c>
      <c r="AY72" s="246">
        <v>0</v>
      </c>
      <c r="AZ72" s="450">
        <v>0</v>
      </c>
      <c r="BA72" s="449">
        <v>0</v>
      </c>
      <c r="BB72" s="452">
        <v>0</v>
      </c>
      <c r="BC72" s="449">
        <v>0</v>
      </c>
      <c r="BD72" s="451">
        <f t="shared" si="214"/>
        <v>0</v>
      </c>
      <c r="BE72" s="248">
        <v>0</v>
      </c>
      <c r="BF72" s="246">
        <v>0</v>
      </c>
      <c r="BG72" s="450">
        <v>0</v>
      </c>
      <c r="BH72" s="449">
        <v>0</v>
      </c>
      <c r="BI72" s="452">
        <v>0</v>
      </c>
      <c r="BJ72" s="449">
        <v>0</v>
      </c>
      <c r="BK72" s="451">
        <f t="shared" si="178"/>
        <v>0</v>
      </c>
      <c r="BL72" s="248">
        <v>0</v>
      </c>
      <c r="BM72" s="246">
        <v>0</v>
      </c>
      <c r="BN72" s="450">
        <v>0</v>
      </c>
      <c r="BO72" s="449">
        <v>0</v>
      </c>
      <c r="BP72" s="452">
        <f t="shared" si="260"/>
        <v>0</v>
      </c>
      <c r="BQ72" s="452">
        <f>BP72*$CE$435</f>
        <v>0</v>
      </c>
      <c r="BR72" s="449">
        <f t="shared" ref="BR72:BR75" si="267">IF(BP72&gt;0,SQRT(($Y72*$Y72)+(BO72*BO72)),0)</f>
        <v>0</v>
      </c>
      <c r="BS72" s="451">
        <f t="shared" si="215"/>
        <v>0</v>
      </c>
      <c r="BT72" s="248">
        <v>0</v>
      </c>
      <c r="BU72" s="246">
        <v>0</v>
      </c>
      <c r="BV72" s="450">
        <v>0</v>
      </c>
      <c r="BW72" s="449">
        <v>0</v>
      </c>
      <c r="BX72" s="452">
        <v>0</v>
      </c>
      <c r="BY72" s="449">
        <v>0</v>
      </c>
      <c r="BZ72" s="451">
        <f t="shared" si="183"/>
        <v>0</v>
      </c>
      <c r="CA72" s="242">
        <f t="shared" si="262"/>
        <v>0</v>
      </c>
      <c r="CB72" s="453">
        <f t="shared" si="263"/>
        <v>0</v>
      </c>
      <c r="CC72" s="45">
        <f t="shared" si="216"/>
        <v>0</v>
      </c>
    </row>
    <row r="73" spans="1:155">
      <c r="B73" s="558"/>
      <c r="C73" s="239"/>
      <c r="D73" s="239"/>
      <c r="E73" s="252"/>
      <c r="F73" s="241">
        <f t="shared" si="240"/>
        <v>0</v>
      </c>
      <c r="G73" s="239"/>
      <c r="H73" s="239"/>
      <c r="I73" s="239"/>
      <c r="J73" s="239"/>
      <c r="K73" s="239"/>
      <c r="L73" s="239"/>
      <c r="M73" s="239"/>
      <c r="N73" s="239"/>
      <c r="O73" s="239"/>
      <c r="P73" s="239"/>
      <c r="Q73" s="239"/>
      <c r="R73" s="239"/>
      <c r="S73" s="242">
        <f t="shared" ref="S73:S75" si="268">SUM(G73:R73)</f>
        <v>0</v>
      </c>
      <c r="T73" s="243">
        <f t="shared" ref="T73:T75" si="269">COUNT(G73:R73)</f>
        <v>0</v>
      </c>
      <c r="U73" s="242">
        <f t="shared" ref="U73:U75" si="270">IF(T73&gt;1,AVERAGE(G73:R73),0)</f>
        <v>0</v>
      </c>
      <c r="V73" s="242">
        <f t="shared" ref="V73:V75" si="271">IF(T73&gt;1,STDEV(G73:R73),0)</f>
        <v>0</v>
      </c>
      <c r="W73" s="242">
        <f t="shared" si="245"/>
        <v>0</v>
      </c>
      <c r="X73" s="244"/>
      <c r="Y73" s="449">
        <f t="shared" si="246"/>
        <v>0</v>
      </c>
      <c r="Z73" s="248">
        <v>0</v>
      </c>
      <c r="AA73" s="246">
        <v>0</v>
      </c>
      <c r="AB73" s="450">
        <v>0</v>
      </c>
      <c r="AC73" s="449">
        <v>0</v>
      </c>
      <c r="AD73" s="451">
        <f t="shared" ref="AD73:AD75" si="272">($S73*Z73)/1000</f>
        <v>0</v>
      </c>
      <c r="AE73" s="451">
        <f t="shared" si="248"/>
        <v>0</v>
      </c>
      <c r="AF73" s="449">
        <f t="shared" si="264"/>
        <v>0</v>
      </c>
      <c r="AG73" s="451">
        <f t="shared" ref="AG73:AG75" si="273">(AE73*AF73)^2</f>
        <v>0</v>
      </c>
      <c r="AH73" s="247">
        <f>VLOOKUP($E73,$CD$138:$DH$504,3,FALSE)</f>
        <v>0</v>
      </c>
      <c r="AI73" s="246">
        <f>VLOOKUP($E73,$CD$138:$DH$504,4,FALSE)</f>
        <v>0</v>
      </c>
      <c r="AJ73" s="450">
        <f>IF($S73&gt;0,VLOOKUP($E73,$CD$138:$DH$504,7,FALSE),0)</f>
        <v>0</v>
      </c>
      <c r="AK73" s="449">
        <f>IF($S73&gt;0,VLOOKUP($E73,$CD$138:$DH$504,6,FALSE),0)</f>
        <v>0</v>
      </c>
      <c r="AL73" s="451">
        <f t="shared" ref="AL73:AL75" si="274">($S73*AH73)/1000</f>
        <v>0</v>
      </c>
      <c r="AM73" s="452">
        <f t="shared" si="252"/>
        <v>0</v>
      </c>
      <c r="AN73" s="449">
        <f t="shared" si="265"/>
        <v>0</v>
      </c>
      <c r="AO73" s="451">
        <f t="shared" ref="AO73:AO75" si="275">(AM73*AN73)^2</f>
        <v>0</v>
      </c>
      <c r="AP73" s="250">
        <f>VLOOKUP($E73,$CD$138:$DH$504,9,FALSE)</f>
        <v>0</v>
      </c>
      <c r="AQ73" s="246">
        <f>VLOOKUP($E73,$CD$138:$DH$504,10,FALSE)</f>
        <v>0</v>
      </c>
      <c r="AR73" s="450">
        <f>IF($S73&gt;0,VLOOKUP($E73,$CD$138:$DH$504,13,FALSE),0)</f>
        <v>0</v>
      </c>
      <c r="AS73" s="449">
        <f>IF($S73&gt;0,VLOOKUP($E73,$CD$138:$DH$504,12,FALSE),0)</f>
        <v>0</v>
      </c>
      <c r="AT73" s="452">
        <f t="shared" si="254"/>
        <v>0</v>
      </c>
      <c r="AU73" s="452">
        <f t="shared" si="255"/>
        <v>0</v>
      </c>
      <c r="AV73" s="449">
        <f t="shared" si="266"/>
        <v>0</v>
      </c>
      <c r="AW73" s="451">
        <f t="shared" ref="AW73:AW75" si="276">(AU73*AV73)^2</f>
        <v>0</v>
      </c>
      <c r="AX73" s="248">
        <v>0</v>
      </c>
      <c r="AY73" s="246">
        <v>0</v>
      </c>
      <c r="AZ73" s="450">
        <v>0</v>
      </c>
      <c r="BA73" s="449">
        <v>0</v>
      </c>
      <c r="BB73" s="452">
        <v>0</v>
      </c>
      <c r="BC73" s="449">
        <v>0</v>
      </c>
      <c r="BD73" s="451">
        <f t="shared" ref="BD73:BD75" si="277">(BB73*BC73)^2</f>
        <v>0</v>
      </c>
      <c r="BE73" s="248">
        <v>0</v>
      </c>
      <c r="BF73" s="246">
        <v>0</v>
      </c>
      <c r="BG73" s="450">
        <v>0</v>
      </c>
      <c r="BH73" s="449">
        <v>0</v>
      </c>
      <c r="BI73" s="452">
        <v>0</v>
      </c>
      <c r="BJ73" s="449">
        <v>0</v>
      </c>
      <c r="BK73" s="451">
        <f t="shared" ref="BK73:BK75" si="278">(BI73*BJ73)^2</f>
        <v>0</v>
      </c>
      <c r="BL73" s="248">
        <v>0</v>
      </c>
      <c r="BM73" s="246">
        <v>0</v>
      </c>
      <c r="BN73" s="450">
        <v>0</v>
      </c>
      <c r="BO73" s="449">
        <v>0</v>
      </c>
      <c r="BP73" s="452">
        <f t="shared" ref="BP73:BP75" si="279">($S73*BL73)/1000</f>
        <v>0</v>
      </c>
      <c r="BQ73" s="452">
        <f>BP73*$CE$435</f>
        <v>0</v>
      </c>
      <c r="BR73" s="449">
        <f t="shared" si="267"/>
        <v>0</v>
      </c>
      <c r="BS73" s="451">
        <f t="shared" ref="BS73:BS75" si="280">(BQ73*BR73)^2</f>
        <v>0</v>
      </c>
      <c r="BT73" s="248">
        <v>0</v>
      </c>
      <c r="BU73" s="246">
        <v>0</v>
      </c>
      <c r="BV73" s="450">
        <v>0</v>
      </c>
      <c r="BW73" s="449">
        <v>0</v>
      </c>
      <c r="BX73" s="452">
        <v>0</v>
      </c>
      <c r="BY73" s="449">
        <v>0</v>
      </c>
      <c r="BZ73" s="451">
        <f t="shared" si="183"/>
        <v>0</v>
      </c>
      <c r="CA73" s="242">
        <f t="shared" si="262"/>
        <v>0</v>
      </c>
      <c r="CB73" s="453">
        <f t="shared" si="263"/>
        <v>0</v>
      </c>
      <c r="CC73" s="45">
        <f t="shared" ref="CC73:CC75" si="281">(CA73*CB73)^2</f>
        <v>0</v>
      </c>
    </row>
    <row r="74" spans="1:155">
      <c r="B74" s="557" t="s">
        <v>258</v>
      </c>
      <c r="C74" s="239"/>
      <c r="D74" s="239"/>
      <c r="E74" s="252"/>
      <c r="F74" s="241">
        <f t="shared" si="240"/>
        <v>0</v>
      </c>
      <c r="G74" s="239"/>
      <c r="H74" s="239"/>
      <c r="I74" s="239"/>
      <c r="J74" s="239"/>
      <c r="K74" s="239"/>
      <c r="L74" s="239"/>
      <c r="M74" s="239"/>
      <c r="N74" s="239"/>
      <c r="O74" s="239"/>
      <c r="P74" s="239"/>
      <c r="Q74" s="239"/>
      <c r="R74" s="239"/>
      <c r="S74" s="242">
        <f t="shared" si="268"/>
        <v>0</v>
      </c>
      <c r="T74" s="243">
        <f t="shared" si="269"/>
        <v>0</v>
      </c>
      <c r="U74" s="242">
        <f t="shared" si="270"/>
        <v>0</v>
      </c>
      <c r="V74" s="242">
        <f t="shared" si="271"/>
        <v>0</v>
      </c>
      <c r="W74" s="242">
        <f t="shared" si="245"/>
        <v>0</v>
      </c>
      <c r="X74" s="244"/>
      <c r="Y74" s="449">
        <f t="shared" si="246"/>
        <v>0</v>
      </c>
      <c r="Z74" s="248">
        <v>0</v>
      </c>
      <c r="AA74" s="246">
        <v>0</v>
      </c>
      <c r="AB74" s="450">
        <v>0</v>
      </c>
      <c r="AC74" s="449">
        <v>0</v>
      </c>
      <c r="AD74" s="451">
        <f t="shared" si="272"/>
        <v>0</v>
      </c>
      <c r="AE74" s="451">
        <f t="shared" si="248"/>
        <v>0</v>
      </c>
      <c r="AF74" s="449">
        <f t="shared" si="264"/>
        <v>0</v>
      </c>
      <c r="AG74" s="451">
        <f t="shared" si="273"/>
        <v>0</v>
      </c>
      <c r="AH74" s="247">
        <f>VLOOKUP($E74,$CD$138:$DH$504,3,FALSE)</f>
        <v>0</v>
      </c>
      <c r="AI74" s="246">
        <f>VLOOKUP($E74,$CD$138:$DH$504,4,FALSE)</f>
        <v>0</v>
      </c>
      <c r="AJ74" s="450">
        <f>IF($S74&gt;0,VLOOKUP($E74,$CD$138:$DH$504,7,FALSE),0)</f>
        <v>0</v>
      </c>
      <c r="AK74" s="449">
        <f>IF($S74&gt;0,VLOOKUP($E74,$CD$138:$DH$504,6,FALSE),0)</f>
        <v>0</v>
      </c>
      <c r="AL74" s="451">
        <f t="shared" si="274"/>
        <v>0</v>
      </c>
      <c r="AM74" s="452">
        <f t="shared" si="252"/>
        <v>0</v>
      </c>
      <c r="AN74" s="449">
        <f t="shared" si="265"/>
        <v>0</v>
      </c>
      <c r="AO74" s="451">
        <f t="shared" si="275"/>
        <v>0</v>
      </c>
      <c r="AP74" s="250">
        <f>VLOOKUP($E74,$CD$138:$DH$504,9,FALSE)</f>
        <v>0</v>
      </c>
      <c r="AQ74" s="246">
        <f>VLOOKUP($E74,$CD$138:$DH$504,10,FALSE)</f>
        <v>0</v>
      </c>
      <c r="AR74" s="450">
        <f>IF($S74&gt;0,VLOOKUP($E74,$CD$138:$DH$504,13,FALSE),0)</f>
        <v>0</v>
      </c>
      <c r="AS74" s="449">
        <f>IF($S74&gt;0,VLOOKUP($E74,$CD$138:$DH$504,12,FALSE),0)</f>
        <v>0</v>
      </c>
      <c r="AT74" s="452">
        <f t="shared" si="254"/>
        <v>0</v>
      </c>
      <c r="AU74" s="452">
        <f t="shared" si="255"/>
        <v>0</v>
      </c>
      <c r="AV74" s="449">
        <f t="shared" si="266"/>
        <v>0</v>
      </c>
      <c r="AW74" s="451">
        <f t="shared" si="276"/>
        <v>0</v>
      </c>
      <c r="AX74" s="248">
        <v>0</v>
      </c>
      <c r="AY74" s="246">
        <v>0</v>
      </c>
      <c r="AZ74" s="450">
        <v>0</v>
      </c>
      <c r="BA74" s="449">
        <v>0</v>
      </c>
      <c r="BB74" s="452">
        <v>0</v>
      </c>
      <c r="BC74" s="449">
        <v>0</v>
      </c>
      <c r="BD74" s="451">
        <f t="shared" si="277"/>
        <v>0</v>
      </c>
      <c r="BE74" s="248">
        <v>0</v>
      </c>
      <c r="BF74" s="246">
        <v>0</v>
      </c>
      <c r="BG74" s="450">
        <v>0</v>
      </c>
      <c r="BH74" s="449">
        <v>0</v>
      </c>
      <c r="BI74" s="452">
        <v>0</v>
      </c>
      <c r="BJ74" s="449">
        <v>0</v>
      </c>
      <c r="BK74" s="451">
        <f t="shared" si="278"/>
        <v>0</v>
      </c>
      <c r="BL74" s="248">
        <v>0</v>
      </c>
      <c r="BM74" s="246">
        <v>0</v>
      </c>
      <c r="BN74" s="450">
        <v>0</v>
      </c>
      <c r="BO74" s="449">
        <v>0</v>
      </c>
      <c r="BP74" s="452">
        <f t="shared" si="279"/>
        <v>0</v>
      </c>
      <c r="BQ74" s="452">
        <f>BP74*$CE$435</f>
        <v>0</v>
      </c>
      <c r="BR74" s="449">
        <f t="shared" si="267"/>
        <v>0</v>
      </c>
      <c r="BS74" s="451">
        <f t="shared" si="280"/>
        <v>0</v>
      </c>
      <c r="BT74" s="248">
        <v>0</v>
      </c>
      <c r="BU74" s="246">
        <v>0</v>
      </c>
      <c r="BV74" s="450">
        <v>0</v>
      </c>
      <c r="BW74" s="449">
        <v>0</v>
      </c>
      <c r="BX74" s="452">
        <v>0</v>
      </c>
      <c r="BY74" s="449">
        <v>0</v>
      </c>
      <c r="BZ74" s="451">
        <f t="shared" si="183"/>
        <v>0</v>
      </c>
      <c r="CA74" s="242">
        <f t="shared" si="262"/>
        <v>0</v>
      </c>
      <c r="CB74" s="453">
        <f t="shared" si="263"/>
        <v>0</v>
      </c>
      <c r="CC74" s="45">
        <f t="shared" si="281"/>
        <v>0</v>
      </c>
    </row>
    <row r="75" spans="1:155">
      <c r="B75" s="558"/>
      <c r="C75" s="239"/>
      <c r="D75" s="239"/>
      <c r="E75" s="252"/>
      <c r="F75" s="241">
        <f t="shared" si="240"/>
        <v>0</v>
      </c>
      <c r="G75" s="239"/>
      <c r="H75" s="239"/>
      <c r="I75" s="239"/>
      <c r="J75" s="239"/>
      <c r="K75" s="239"/>
      <c r="L75" s="239"/>
      <c r="M75" s="239"/>
      <c r="N75" s="239"/>
      <c r="O75" s="239"/>
      <c r="P75" s="239"/>
      <c r="Q75" s="239"/>
      <c r="R75" s="239"/>
      <c r="S75" s="242">
        <f t="shared" si="268"/>
        <v>0</v>
      </c>
      <c r="T75" s="243">
        <f t="shared" si="269"/>
        <v>0</v>
      </c>
      <c r="U75" s="242">
        <f t="shared" si="270"/>
        <v>0</v>
      </c>
      <c r="V75" s="242">
        <f t="shared" si="271"/>
        <v>0</v>
      </c>
      <c r="W75" s="242">
        <f t="shared" si="245"/>
        <v>0</v>
      </c>
      <c r="X75" s="244"/>
      <c r="Y75" s="449">
        <f t="shared" si="246"/>
        <v>0</v>
      </c>
      <c r="Z75" s="248">
        <v>0</v>
      </c>
      <c r="AA75" s="246">
        <v>0</v>
      </c>
      <c r="AB75" s="450">
        <v>0</v>
      </c>
      <c r="AC75" s="449">
        <v>0</v>
      </c>
      <c r="AD75" s="451">
        <f t="shared" si="272"/>
        <v>0</v>
      </c>
      <c r="AE75" s="451">
        <f t="shared" si="248"/>
        <v>0</v>
      </c>
      <c r="AF75" s="449">
        <f t="shared" si="264"/>
        <v>0</v>
      </c>
      <c r="AG75" s="451">
        <f t="shared" si="273"/>
        <v>0</v>
      </c>
      <c r="AH75" s="247">
        <f>VLOOKUP($E75,$CD$138:$DH$504,3,FALSE)</f>
        <v>0</v>
      </c>
      <c r="AI75" s="246">
        <f>VLOOKUP($E75,$CD$138:$DH$504,4,FALSE)</f>
        <v>0</v>
      </c>
      <c r="AJ75" s="450">
        <f>IF($S75&gt;0,VLOOKUP($E75,$CD$138:$DH$504,7,FALSE),0)</f>
        <v>0</v>
      </c>
      <c r="AK75" s="449">
        <f>IF($S75&gt;0,VLOOKUP($E75,$CD$138:$DH$504,6,FALSE),0)</f>
        <v>0</v>
      </c>
      <c r="AL75" s="451">
        <f t="shared" si="274"/>
        <v>0</v>
      </c>
      <c r="AM75" s="452">
        <f t="shared" si="252"/>
        <v>0</v>
      </c>
      <c r="AN75" s="449">
        <f t="shared" si="265"/>
        <v>0</v>
      </c>
      <c r="AO75" s="451">
        <f t="shared" si="275"/>
        <v>0</v>
      </c>
      <c r="AP75" s="250">
        <v>0</v>
      </c>
      <c r="AQ75" s="246">
        <v>0</v>
      </c>
      <c r="AR75" s="450">
        <v>0</v>
      </c>
      <c r="AS75" s="449">
        <v>0</v>
      </c>
      <c r="AT75" s="452">
        <f t="shared" si="254"/>
        <v>0</v>
      </c>
      <c r="AU75" s="452">
        <f t="shared" si="255"/>
        <v>0</v>
      </c>
      <c r="AV75" s="449">
        <f t="shared" si="266"/>
        <v>0</v>
      </c>
      <c r="AW75" s="451">
        <f t="shared" si="276"/>
        <v>0</v>
      </c>
      <c r="AX75" s="248">
        <v>0</v>
      </c>
      <c r="AY75" s="246">
        <v>0</v>
      </c>
      <c r="AZ75" s="450">
        <v>0</v>
      </c>
      <c r="BA75" s="449">
        <v>0</v>
      </c>
      <c r="BB75" s="452">
        <v>0</v>
      </c>
      <c r="BC75" s="449">
        <v>0</v>
      </c>
      <c r="BD75" s="451">
        <f t="shared" si="277"/>
        <v>0</v>
      </c>
      <c r="BE75" s="248">
        <v>0</v>
      </c>
      <c r="BF75" s="246">
        <v>0</v>
      </c>
      <c r="BG75" s="450">
        <v>0</v>
      </c>
      <c r="BH75" s="449">
        <v>0</v>
      </c>
      <c r="BI75" s="452">
        <v>0</v>
      </c>
      <c r="BJ75" s="449">
        <v>0</v>
      </c>
      <c r="BK75" s="451">
        <f t="shared" si="278"/>
        <v>0</v>
      </c>
      <c r="BL75" s="248">
        <v>0</v>
      </c>
      <c r="BM75" s="246">
        <v>0</v>
      </c>
      <c r="BN75" s="450">
        <v>0</v>
      </c>
      <c r="BO75" s="449">
        <v>0</v>
      </c>
      <c r="BP75" s="452">
        <f t="shared" si="279"/>
        <v>0</v>
      </c>
      <c r="BQ75" s="452">
        <f>BP75*$CE$435</f>
        <v>0</v>
      </c>
      <c r="BR75" s="449">
        <f t="shared" si="267"/>
        <v>0</v>
      </c>
      <c r="BS75" s="451">
        <f t="shared" si="280"/>
        <v>0</v>
      </c>
      <c r="BT75" s="248">
        <v>0</v>
      </c>
      <c r="BU75" s="246">
        <v>0</v>
      </c>
      <c r="BV75" s="450">
        <v>0</v>
      </c>
      <c r="BW75" s="449">
        <v>0</v>
      </c>
      <c r="BX75" s="452">
        <v>0</v>
      </c>
      <c r="BY75" s="449">
        <v>0</v>
      </c>
      <c r="BZ75" s="451">
        <f t="shared" si="183"/>
        <v>0</v>
      </c>
      <c r="CA75" s="242">
        <f t="shared" si="262"/>
        <v>0</v>
      </c>
      <c r="CB75" s="453">
        <f t="shared" si="263"/>
        <v>0</v>
      </c>
      <c r="CC75" s="45">
        <f t="shared" si="281"/>
        <v>0</v>
      </c>
    </row>
    <row r="76" spans="1:155">
      <c r="B76" s="455" t="s">
        <v>259</v>
      </c>
      <c r="C76" s="470"/>
      <c r="D76" s="470"/>
      <c r="E76" s="456"/>
      <c r="F76" s="456"/>
      <c r="G76" s="456"/>
      <c r="H76" s="456"/>
      <c r="I76" s="456"/>
      <c r="J76" s="456"/>
      <c r="K76" s="456"/>
      <c r="L76" s="456"/>
      <c r="M76" s="456"/>
      <c r="N76" s="456"/>
      <c r="O76" s="456"/>
      <c r="P76" s="456"/>
      <c r="Q76" s="456"/>
      <c r="R76" s="456"/>
      <c r="S76" s="456"/>
      <c r="T76" s="456"/>
      <c r="U76" s="456"/>
      <c r="V76" s="456"/>
      <c r="W76" s="456"/>
      <c r="X76" s="458"/>
      <c r="Y76" s="456"/>
      <c r="Z76" s="456"/>
      <c r="AA76" s="456"/>
      <c r="AB76" s="460"/>
      <c r="AC76" s="456"/>
      <c r="AD76" s="461"/>
      <c r="AE76" s="462">
        <f>SUM(AE69:AE75)</f>
        <v>0</v>
      </c>
      <c r="AF76" s="463">
        <f>IF(AE76&gt;0,SQRT(SUM(AG69:AG75))/AE76,0)</f>
        <v>0</v>
      </c>
      <c r="AG76" s="462">
        <f t="shared" si="211"/>
        <v>0</v>
      </c>
      <c r="AH76" s="464"/>
      <c r="AI76" s="456"/>
      <c r="AJ76" s="465"/>
      <c r="AK76" s="456"/>
      <c r="AL76" s="466"/>
      <c r="AM76" s="462">
        <f>SUM(AM69:AM75)</f>
        <v>0</v>
      </c>
      <c r="AN76" s="463">
        <f>IF(AM76&gt;0,SQRT(SUM(AO69:AO75))/AM76,0)</f>
        <v>0</v>
      </c>
      <c r="AO76" s="462">
        <f t="shared" si="212"/>
        <v>0</v>
      </c>
      <c r="AP76" s="456"/>
      <c r="AQ76" s="456"/>
      <c r="AR76" s="465"/>
      <c r="AS76" s="456"/>
      <c r="AT76" s="456"/>
      <c r="AU76" s="462">
        <f>SUM(AU69:AU75)</f>
        <v>0</v>
      </c>
      <c r="AV76" s="463">
        <f>IF(AU76&gt;0,SQRT(SUM(AW69:AW75))/AU76,0)</f>
        <v>0</v>
      </c>
      <c r="AW76" s="462">
        <f t="shared" si="213"/>
        <v>0</v>
      </c>
      <c r="AX76" s="456"/>
      <c r="AY76" s="456"/>
      <c r="AZ76" s="465"/>
      <c r="BA76" s="456"/>
      <c r="BB76" s="462">
        <f>SUM(BB69:BB75)</f>
        <v>0</v>
      </c>
      <c r="BC76" s="463">
        <f>IF(BB76&gt;0,SQRT(SUM(BD69:BD75))/BB76,0)</f>
        <v>0</v>
      </c>
      <c r="BD76" s="462">
        <f t="shared" si="214"/>
        <v>0</v>
      </c>
      <c r="BE76" s="456"/>
      <c r="BF76" s="456"/>
      <c r="BG76" s="465"/>
      <c r="BH76" s="456"/>
      <c r="BI76" s="462">
        <f>SUM(BI69:BI75)</f>
        <v>0</v>
      </c>
      <c r="BJ76" s="463">
        <f>IF(BI76&gt;0,SQRT(SUM(BK69:BK75))/BI76,0)</f>
        <v>0</v>
      </c>
      <c r="BK76" s="462">
        <f t="shared" ref="BK76:BK77" si="282">(BI76*BJ76)^2</f>
        <v>0</v>
      </c>
      <c r="BL76" s="456"/>
      <c r="BM76" s="456"/>
      <c r="BN76" s="460"/>
      <c r="BO76" s="467"/>
      <c r="BP76" s="468"/>
      <c r="BQ76" s="462">
        <f>SUM(BQ69:BQ75)</f>
        <v>0</v>
      </c>
      <c r="BR76" s="463">
        <f>IF(BQ76&gt;0,SQRT(SUM(BS69:BS75))/BQ76,0)</f>
        <v>0</v>
      </c>
      <c r="BS76" s="462">
        <f t="shared" si="215"/>
        <v>0</v>
      </c>
      <c r="BT76" s="456"/>
      <c r="BU76" s="456"/>
      <c r="BV76" s="460"/>
      <c r="BW76" s="467"/>
      <c r="BX76" s="462">
        <f>SUM(BX69:BX75)</f>
        <v>0</v>
      </c>
      <c r="BY76" s="463">
        <f>IF(BX76&gt;0,SQRT(SUM(BZ69:BZ75))/BX76,0)</f>
        <v>0</v>
      </c>
      <c r="BZ76" s="462">
        <f t="shared" si="183"/>
        <v>0</v>
      </c>
      <c r="CA76" s="462">
        <f>SUM(CA69:CA75)</f>
        <v>0</v>
      </c>
      <c r="CB76" s="469">
        <f>IF(CA76&gt;0,SQRT(SUM(CC69:CC75))/CA76,0)</f>
        <v>0</v>
      </c>
      <c r="CC76" s="45">
        <f t="shared" si="216"/>
        <v>0</v>
      </c>
    </row>
    <row r="77" spans="1:155" ht="15.4">
      <c r="B77" s="253" t="s">
        <v>260</v>
      </c>
      <c r="C77" s="254"/>
      <c r="D77" s="254"/>
      <c r="E77" s="255"/>
      <c r="F77" s="255"/>
      <c r="G77" s="255"/>
      <c r="H77" s="255"/>
      <c r="I77" s="255"/>
      <c r="J77" s="255"/>
      <c r="K77" s="255"/>
      <c r="L77" s="255"/>
      <c r="M77" s="255"/>
      <c r="N77" s="255"/>
      <c r="O77" s="255"/>
      <c r="P77" s="255"/>
      <c r="Q77" s="255"/>
      <c r="R77" s="255"/>
      <c r="S77" s="255"/>
      <c r="T77" s="255"/>
      <c r="U77" s="255"/>
      <c r="V77" s="255"/>
      <c r="W77" s="255"/>
      <c r="X77" s="257"/>
      <c r="Y77" s="255"/>
      <c r="Z77" s="255"/>
      <c r="AA77" s="255"/>
      <c r="AB77" s="258"/>
      <c r="AC77" s="255"/>
      <c r="AD77" s="259"/>
      <c r="AE77" s="260">
        <f>+AE63+AE76+AE68</f>
        <v>0</v>
      </c>
      <c r="AF77" s="261">
        <f>IF(AE77&gt;0,(SQRT(AG63+AG76+AG68))/AE77,0)</f>
        <v>0</v>
      </c>
      <c r="AG77" s="260">
        <f t="shared" si="211"/>
        <v>0</v>
      </c>
      <c r="AH77" s="262"/>
      <c r="AI77" s="255"/>
      <c r="AJ77" s="263"/>
      <c r="AK77" s="255"/>
      <c r="AL77" s="264"/>
      <c r="AM77" s="260">
        <f>+AM63+AM76+AM68</f>
        <v>0</v>
      </c>
      <c r="AN77" s="261">
        <f>IF(AM77&gt;0,(SQRT(AO63+AO76+AO68))/AM77,0)</f>
        <v>0</v>
      </c>
      <c r="AO77" s="260">
        <f t="shared" si="212"/>
        <v>0</v>
      </c>
      <c r="AP77" s="255"/>
      <c r="AQ77" s="255"/>
      <c r="AR77" s="263"/>
      <c r="AS77" s="255"/>
      <c r="AT77" s="255"/>
      <c r="AU77" s="260">
        <f>+AU63+AU76+AU68</f>
        <v>0</v>
      </c>
      <c r="AV77" s="261">
        <f>IF(AU77&gt;0,(SQRT(AW63+AW76+AW68))/AU77,0)</f>
        <v>0</v>
      </c>
      <c r="AW77" s="260">
        <f t="shared" si="213"/>
        <v>0</v>
      </c>
      <c r="AX77" s="255"/>
      <c r="AY77" s="255"/>
      <c r="AZ77" s="263"/>
      <c r="BA77" s="255"/>
      <c r="BB77" s="260">
        <f>+BB63+BB76+BB68</f>
        <v>0</v>
      </c>
      <c r="BC77" s="261">
        <f>IF(BB77&gt;0,(SQRT(BD63+BD76+BD68))/BB77,0)</f>
        <v>0</v>
      </c>
      <c r="BD77" s="260">
        <f t="shared" si="214"/>
        <v>0</v>
      </c>
      <c r="BE77" s="255"/>
      <c r="BF77" s="255"/>
      <c r="BG77" s="263"/>
      <c r="BH77" s="255"/>
      <c r="BI77" s="260">
        <f>+BI63+BI76+BI68</f>
        <v>0</v>
      </c>
      <c r="BJ77" s="261">
        <f>IF(BI77&gt;0,(SQRT(BK63+BK76+BK68))/BI77,0)</f>
        <v>0</v>
      </c>
      <c r="BK77" s="260">
        <f t="shared" si="282"/>
        <v>0</v>
      </c>
      <c r="BL77" s="255"/>
      <c r="BM77" s="255"/>
      <c r="BN77" s="258"/>
      <c r="BO77" s="265"/>
      <c r="BP77" s="266"/>
      <c r="BQ77" s="260">
        <f>+BQ63+BQ76+BQ68</f>
        <v>0</v>
      </c>
      <c r="BR77" s="261">
        <f>IF(BQ77&gt;0,(SQRT(BS63+BS76+BS68))/BQ77,0)</f>
        <v>0</v>
      </c>
      <c r="BS77" s="260">
        <f t="shared" si="215"/>
        <v>0</v>
      </c>
      <c r="BT77" s="255"/>
      <c r="BU77" s="255"/>
      <c r="BV77" s="258"/>
      <c r="BW77" s="265"/>
      <c r="BX77" s="260">
        <f>+BX63+BX76+BX68</f>
        <v>0</v>
      </c>
      <c r="BY77" s="261">
        <f>IF(BX77&gt;0,(SQRT(BZ63+BZ76+BZ68))/BX77,0)</f>
        <v>0</v>
      </c>
      <c r="BZ77" s="260">
        <f t="shared" si="183"/>
        <v>0</v>
      </c>
      <c r="CA77" s="260">
        <f>+CA63+CA76+CA68</f>
        <v>0</v>
      </c>
      <c r="CB77" s="261">
        <f>IF(CA77&gt;0,(SQRT(CC63+CC76+CC68))/CA77,0)</f>
        <v>0</v>
      </c>
      <c r="CC77" s="45">
        <f t="shared" si="216"/>
        <v>0</v>
      </c>
    </row>
    <row r="78" spans="1:155" s="19" customFormat="1" ht="15.4">
      <c r="B78" s="268"/>
      <c r="C78" s="269"/>
      <c r="D78" s="269"/>
      <c r="E78" s="270"/>
      <c r="F78" s="270"/>
      <c r="G78" s="270"/>
      <c r="H78" s="270"/>
      <c r="I78" s="270"/>
      <c r="J78" s="270"/>
      <c r="K78" s="270"/>
      <c r="L78" s="270"/>
      <c r="M78" s="270"/>
      <c r="N78" s="270"/>
      <c r="O78" s="270"/>
      <c r="P78" s="270"/>
      <c r="Q78" s="270"/>
      <c r="R78" s="270"/>
      <c r="S78" s="270"/>
      <c r="T78" s="270"/>
      <c r="U78" s="270"/>
      <c r="V78" s="270"/>
      <c r="W78" s="270"/>
      <c r="X78" s="271"/>
      <c r="Y78" s="270"/>
      <c r="Z78" s="270"/>
      <c r="AA78" s="270"/>
      <c r="AB78" s="272"/>
      <c r="AC78" s="270"/>
      <c r="AD78" s="273"/>
      <c r="AE78" s="274"/>
      <c r="AF78" s="275"/>
      <c r="AG78" s="274"/>
      <c r="AH78" s="276"/>
      <c r="AI78" s="270"/>
      <c r="AJ78" s="277"/>
      <c r="AK78" s="270"/>
      <c r="AL78" s="278"/>
      <c r="AM78" s="274"/>
      <c r="AN78" s="275"/>
      <c r="AO78" s="274"/>
      <c r="AP78" s="270"/>
      <c r="AQ78" s="270"/>
      <c r="AR78" s="277"/>
      <c r="AS78" s="270"/>
      <c r="AT78" s="270"/>
      <c r="AU78" s="274"/>
      <c r="AV78" s="275"/>
      <c r="AW78" s="274"/>
      <c r="AX78" s="270"/>
      <c r="AY78" s="270"/>
      <c r="AZ78" s="277"/>
      <c r="BA78" s="270"/>
      <c r="BB78" s="274"/>
      <c r="BC78" s="275"/>
      <c r="BD78" s="274"/>
      <c r="BE78" s="270"/>
      <c r="BF78" s="270"/>
      <c r="BG78" s="277"/>
      <c r="BH78" s="270"/>
      <c r="BI78" s="274"/>
      <c r="BJ78" s="275"/>
      <c r="BK78" s="274"/>
      <c r="BL78" s="270"/>
      <c r="BM78" s="270"/>
      <c r="BN78" s="272"/>
      <c r="BO78" s="279"/>
      <c r="BP78" s="280"/>
      <c r="BQ78" s="274"/>
      <c r="BR78" s="275"/>
      <c r="BS78" s="274"/>
      <c r="BT78" s="270"/>
      <c r="BU78" s="270"/>
      <c r="BV78" s="272"/>
      <c r="BW78" s="279"/>
      <c r="BX78" s="274"/>
      <c r="BY78" s="275"/>
      <c r="BZ78" s="274"/>
      <c r="CA78" s="274"/>
      <c r="CB78" s="281"/>
      <c r="CC78" s="45"/>
      <c r="CD78" s="59"/>
      <c r="CE78" s="21"/>
      <c r="CF78" s="21"/>
      <c r="CG78" s="21"/>
      <c r="CH78" s="60"/>
      <c r="CI78" s="60"/>
      <c r="CJ78" s="60"/>
      <c r="CK78" s="21"/>
      <c r="CL78" s="21"/>
      <c r="CM78" s="21"/>
      <c r="CN78" s="21"/>
      <c r="CO78" s="21"/>
      <c r="CP78" s="21"/>
      <c r="CQ78" s="21"/>
      <c r="CR78" s="21"/>
      <c r="CS78" s="21"/>
      <c r="CT78" s="21"/>
      <c r="CU78" s="21"/>
      <c r="CV78" s="21"/>
      <c r="CW78" s="20"/>
      <c r="CX78" s="21"/>
      <c r="CY78" s="21"/>
      <c r="CZ78" s="20"/>
      <c r="DA78" s="20"/>
      <c r="DB78" s="20"/>
      <c r="DC78" s="20"/>
      <c r="DD78" s="21"/>
      <c r="DE78" s="21"/>
      <c r="DF78" s="20"/>
      <c r="DG78" s="20"/>
      <c r="DH78" s="20"/>
      <c r="DI78" s="22"/>
      <c r="DJ78" s="23"/>
      <c r="DK78" s="23"/>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5"/>
      <c r="ES78" s="25"/>
      <c r="ET78" s="25"/>
      <c r="EU78" s="25"/>
      <c r="EV78" s="25"/>
      <c r="EW78" s="25"/>
      <c r="EX78" s="25"/>
      <c r="EY78" s="25"/>
    </row>
    <row r="79" spans="1:155" ht="24.75" customHeight="1">
      <c r="B79" s="537" t="s">
        <v>261</v>
      </c>
      <c r="C79" s="538"/>
      <c r="D79" s="538"/>
      <c r="E79" s="538"/>
      <c r="F79" s="538"/>
      <c r="G79" s="538"/>
      <c r="H79" s="538"/>
      <c r="I79" s="538"/>
      <c r="J79" s="538"/>
      <c r="K79" s="538"/>
      <c r="L79" s="538"/>
      <c r="M79" s="538"/>
      <c r="N79" s="538"/>
      <c r="O79" s="538"/>
      <c r="P79" s="538"/>
      <c r="Q79" s="538"/>
      <c r="R79" s="538"/>
      <c r="S79" s="538"/>
      <c r="T79" s="538"/>
      <c r="U79" s="538"/>
      <c r="V79" s="538"/>
      <c r="W79" s="538"/>
      <c r="X79" s="538"/>
      <c r="Y79" s="538"/>
      <c r="Z79" s="538"/>
      <c r="AA79" s="538"/>
      <c r="AB79" s="538"/>
      <c r="AC79" s="538"/>
      <c r="AD79" s="538"/>
      <c r="AE79" s="538"/>
      <c r="AF79" s="538"/>
      <c r="AG79" s="538"/>
      <c r="AH79" s="538"/>
      <c r="AI79" s="538"/>
      <c r="AJ79" s="538"/>
      <c r="AK79" s="538"/>
      <c r="AL79" s="538"/>
      <c r="AM79" s="538"/>
      <c r="AN79" s="538"/>
      <c r="AO79" s="538"/>
      <c r="AP79" s="538"/>
      <c r="AQ79" s="538"/>
      <c r="AR79" s="538"/>
      <c r="AS79" s="538"/>
      <c r="AT79" s="538"/>
      <c r="AU79" s="538"/>
      <c r="AV79" s="538"/>
      <c r="AW79" s="538"/>
      <c r="AX79" s="538"/>
      <c r="AY79" s="538"/>
      <c r="AZ79" s="538"/>
      <c r="BA79" s="538"/>
      <c r="BB79" s="538"/>
      <c r="BC79" s="538"/>
      <c r="BD79" s="538"/>
      <c r="BE79" s="538"/>
      <c r="BF79" s="538"/>
      <c r="BG79" s="538"/>
      <c r="BH79" s="538"/>
      <c r="BI79" s="538"/>
      <c r="BJ79" s="538"/>
      <c r="BK79" s="538"/>
      <c r="BL79" s="538"/>
      <c r="BM79" s="538"/>
      <c r="BN79" s="538"/>
      <c r="BO79" s="538"/>
      <c r="BP79" s="538"/>
      <c r="BQ79" s="538"/>
      <c r="BR79" s="538"/>
      <c r="BS79" s="538"/>
      <c r="BT79" s="538"/>
      <c r="BU79" s="538"/>
      <c r="BV79" s="538"/>
      <c r="BW79" s="538"/>
      <c r="BX79" s="538"/>
      <c r="BY79" s="538"/>
      <c r="BZ79" s="538"/>
      <c r="CA79" s="538"/>
      <c r="CB79" s="539"/>
    </row>
    <row r="80" spans="1:155" s="36" customFormat="1" ht="49.5" customHeight="1">
      <c r="A80" s="19"/>
      <c r="B80" s="546" t="s">
        <v>157</v>
      </c>
      <c r="C80" s="544" t="s">
        <v>158</v>
      </c>
      <c r="D80" s="544" t="s">
        <v>159</v>
      </c>
      <c r="E80" s="540" t="s">
        <v>160</v>
      </c>
      <c r="F80" s="540" t="s">
        <v>161</v>
      </c>
      <c r="G80" s="540"/>
      <c r="H80" s="540"/>
      <c r="I80" s="540"/>
      <c r="J80" s="540"/>
      <c r="K80" s="540"/>
      <c r="L80" s="540"/>
      <c r="M80" s="540"/>
      <c r="N80" s="540"/>
      <c r="O80" s="540"/>
      <c r="P80" s="540"/>
      <c r="Q80" s="540"/>
      <c r="R80" s="540"/>
      <c r="S80" s="540"/>
      <c r="T80" s="540"/>
      <c r="U80" s="540" t="s">
        <v>162</v>
      </c>
      <c r="V80" s="540"/>
      <c r="W80" s="540"/>
      <c r="X80" s="540"/>
      <c r="Y80" s="540"/>
      <c r="Z80" s="541" t="s">
        <v>163</v>
      </c>
      <c r="AA80" s="541"/>
      <c r="AB80" s="541"/>
      <c r="AC80" s="541"/>
      <c r="AD80" s="541"/>
      <c r="AE80" s="541"/>
      <c r="AF80" s="541"/>
      <c r="AG80" s="541"/>
      <c r="AH80" s="541" t="s">
        <v>164</v>
      </c>
      <c r="AI80" s="541"/>
      <c r="AJ80" s="541"/>
      <c r="AK80" s="541"/>
      <c r="AL80" s="541"/>
      <c r="AM80" s="541"/>
      <c r="AN80" s="541"/>
      <c r="AO80" s="541"/>
      <c r="AP80" s="541" t="s">
        <v>165</v>
      </c>
      <c r="AQ80" s="541"/>
      <c r="AR80" s="541"/>
      <c r="AS80" s="541"/>
      <c r="AT80" s="541"/>
      <c r="AU80" s="541"/>
      <c r="AV80" s="541"/>
      <c r="AW80" s="541"/>
      <c r="AX80" s="541" t="s">
        <v>166</v>
      </c>
      <c r="AY80" s="541"/>
      <c r="AZ80" s="541"/>
      <c r="BA80" s="541"/>
      <c r="BB80" s="541"/>
      <c r="BC80" s="541"/>
      <c r="BD80" s="541"/>
      <c r="BE80" s="541" t="s">
        <v>167</v>
      </c>
      <c r="BF80" s="541"/>
      <c r="BG80" s="541"/>
      <c r="BH80" s="541"/>
      <c r="BI80" s="541"/>
      <c r="BJ80" s="541"/>
      <c r="BK80" s="541"/>
      <c r="BL80" s="541" t="s">
        <v>168</v>
      </c>
      <c r="BM80" s="541"/>
      <c r="BN80" s="541"/>
      <c r="BO80" s="541"/>
      <c r="BP80" s="541"/>
      <c r="BQ80" s="541"/>
      <c r="BR80" s="541"/>
      <c r="BS80" s="541"/>
      <c r="BT80" s="541" t="s">
        <v>169</v>
      </c>
      <c r="BU80" s="541"/>
      <c r="BV80" s="541"/>
      <c r="BW80" s="541"/>
      <c r="BX80" s="541"/>
      <c r="BY80" s="541"/>
      <c r="BZ80" s="541"/>
      <c r="CA80" s="542" t="s">
        <v>244</v>
      </c>
      <c r="CB80" s="543" t="s">
        <v>41</v>
      </c>
      <c r="CC80" s="45"/>
      <c r="CE80" s="46"/>
      <c r="CF80" s="46"/>
      <c r="CG80" s="46"/>
      <c r="CH80" s="47"/>
      <c r="CI80" s="47"/>
      <c r="CJ80" s="47"/>
      <c r="CK80" s="46"/>
      <c r="CL80" s="46"/>
      <c r="CM80" s="46"/>
      <c r="CN80" s="46"/>
      <c r="CO80" s="46"/>
      <c r="CP80" s="46"/>
      <c r="CQ80" s="46"/>
      <c r="CR80" s="46"/>
      <c r="CS80" s="46"/>
      <c r="CT80" s="46"/>
      <c r="CU80" s="46"/>
      <c r="CV80" s="46"/>
      <c r="CW80" s="48"/>
      <c r="CX80" s="46"/>
      <c r="CY80" s="46"/>
      <c r="CZ80" s="48"/>
      <c r="DA80" s="48"/>
      <c r="DB80" s="48"/>
      <c r="DC80" s="48"/>
      <c r="DD80" s="46"/>
      <c r="DE80" s="46"/>
      <c r="DF80" s="48"/>
      <c r="DG80" s="48"/>
      <c r="DH80" s="48"/>
      <c r="DI80" s="49"/>
      <c r="DJ80" s="50"/>
      <c r="DK80" s="50"/>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8"/>
      <c r="ES80" s="38"/>
      <c r="ET80" s="38"/>
      <c r="EU80" s="38"/>
      <c r="EV80" s="38"/>
      <c r="EW80" s="38"/>
      <c r="EX80" s="38"/>
      <c r="EY80" s="38"/>
    </row>
    <row r="81" spans="1:155" s="36" customFormat="1" ht="75" customHeight="1">
      <c r="A81" s="19"/>
      <c r="B81" s="547"/>
      <c r="C81" s="545"/>
      <c r="D81" s="545"/>
      <c r="E81" s="540"/>
      <c r="F81" s="444" t="s">
        <v>171</v>
      </c>
      <c r="G81" s="444" t="s">
        <v>172</v>
      </c>
      <c r="H81" s="444" t="s">
        <v>173</v>
      </c>
      <c r="I81" s="444" t="s">
        <v>174</v>
      </c>
      <c r="J81" s="444" t="s">
        <v>175</v>
      </c>
      <c r="K81" s="444" t="s">
        <v>176</v>
      </c>
      <c r="L81" s="444" t="s">
        <v>177</v>
      </c>
      <c r="M81" s="444" t="s">
        <v>178</v>
      </c>
      <c r="N81" s="444" t="s">
        <v>179</v>
      </c>
      <c r="O81" s="444" t="s">
        <v>180</v>
      </c>
      <c r="P81" s="444" t="s">
        <v>181</v>
      </c>
      <c r="Q81" s="444" t="s">
        <v>182</v>
      </c>
      <c r="R81" s="444" t="s">
        <v>183</v>
      </c>
      <c r="S81" s="444" t="s">
        <v>184</v>
      </c>
      <c r="T81" s="444" t="s">
        <v>185</v>
      </c>
      <c r="U81" s="444" t="s">
        <v>186</v>
      </c>
      <c r="V81" s="444" t="s">
        <v>187</v>
      </c>
      <c r="W81" s="444" t="s">
        <v>188</v>
      </c>
      <c r="X81" s="445" t="s">
        <v>189</v>
      </c>
      <c r="Y81" s="237" t="s">
        <v>162</v>
      </c>
      <c r="Z81" s="542" t="s">
        <v>190</v>
      </c>
      <c r="AA81" s="542"/>
      <c r="AB81" s="446" t="s">
        <v>191</v>
      </c>
      <c r="AC81" s="444" t="s">
        <v>192</v>
      </c>
      <c r="AD81" s="447" t="s">
        <v>193</v>
      </c>
      <c r="AE81" s="447" t="s">
        <v>193</v>
      </c>
      <c r="AF81" s="237" t="s">
        <v>194</v>
      </c>
      <c r="AG81" s="447" t="s">
        <v>195</v>
      </c>
      <c r="AH81" s="542" t="s">
        <v>196</v>
      </c>
      <c r="AI81" s="542"/>
      <c r="AJ81" s="446" t="s">
        <v>191</v>
      </c>
      <c r="AK81" s="237" t="s">
        <v>197</v>
      </c>
      <c r="AL81" s="448" t="s">
        <v>198</v>
      </c>
      <c r="AM81" s="448" t="s">
        <v>199</v>
      </c>
      <c r="AN81" s="237" t="s">
        <v>200</v>
      </c>
      <c r="AO81" s="447" t="s">
        <v>195</v>
      </c>
      <c r="AP81" s="542" t="s">
        <v>201</v>
      </c>
      <c r="AQ81" s="542"/>
      <c r="AR81" s="446" t="s">
        <v>191</v>
      </c>
      <c r="AS81" s="237" t="s">
        <v>202</v>
      </c>
      <c r="AT81" s="444" t="s">
        <v>203</v>
      </c>
      <c r="AU81" s="444" t="s">
        <v>204</v>
      </c>
      <c r="AV81" s="237" t="s">
        <v>205</v>
      </c>
      <c r="AW81" s="447" t="s">
        <v>195</v>
      </c>
      <c r="AX81" s="542" t="s">
        <v>206</v>
      </c>
      <c r="AY81" s="542"/>
      <c r="AZ81" s="446" t="s">
        <v>191</v>
      </c>
      <c r="BA81" s="237" t="s">
        <v>207</v>
      </c>
      <c r="BB81" s="447" t="s">
        <v>233</v>
      </c>
      <c r="BC81" s="237" t="s">
        <v>262</v>
      </c>
      <c r="BD81" s="447" t="s">
        <v>195</v>
      </c>
      <c r="BE81" s="542" t="s">
        <v>210</v>
      </c>
      <c r="BF81" s="542"/>
      <c r="BG81" s="446" t="s">
        <v>191</v>
      </c>
      <c r="BH81" s="237" t="s">
        <v>211</v>
      </c>
      <c r="BI81" s="447" t="s">
        <v>234</v>
      </c>
      <c r="BJ81" s="237" t="s">
        <v>263</v>
      </c>
      <c r="BK81" s="447" t="s">
        <v>195</v>
      </c>
      <c r="BL81" s="542" t="s">
        <v>214</v>
      </c>
      <c r="BM81" s="542"/>
      <c r="BN81" s="446" t="s">
        <v>191</v>
      </c>
      <c r="BO81" s="237" t="s">
        <v>215</v>
      </c>
      <c r="BP81" s="447" t="s">
        <v>235</v>
      </c>
      <c r="BQ81" s="447" t="s">
        <v>236</v>
      </c>
      <c r="BR81" s="237" t="s">
        <v>218</v>
      </c>
      <c r="BS81" s="447" t="s">
        <v>195</v>
      </c>
      <c r="BT81" s="542" t="s">
        <v>219</v>
      </c>
      <c r="BU81" s="542"/>
      <c r="BV81" s="446" t="s">
        <v>191</v>
      </c>
      <c r="BW81" s="237" t="s">
        <v>220</v>
      </c>
      <c r="BX81" s="447" t="s">
        <v>237</v>
      </c>
      <c r="BY81" s="237" t="s">
        <v>222</v>
      </c>
      <c r="BZ81" s="447" t="s">
        <v>195</v>
      </c>
      <c r="CA81" s="542"/>
      <c r="CB81" s="543"/>
      <c r="CC81" s="45" t="s">
        <v>223</v>
      </c>
      <c r="CE81" s="46"/>
      <c r="CF81" s="46"/>
      <c r="CG81" s="46"/>
      <c r="CH81" s="47"/>
      <c r="CI81" s="47"/>
      <c r="CJ81" s="47"/>
      <c r="CK81" s="46"/>
      <c r="CL81" s="46"/>
      <c r="CM81" s="46"/>
      <c r="CN81" s="46"/>
      <c r="CO81" s="46"/>
      <c r="CP81" s="46"/>
      <c r="CQ81" s="46"/>
      <c r="CR81" s="46"/>
      <c r="CS81" s="46"/>
      <c r="CT81" s="46"/>
      <c r="CU81" s="46"/>
      <c r="CV81" s="46"/>
      <c r="CW81" s="48"/>
      <c r="CX81" s="46"/>
      <c r="CY81" s="46"/>
      <c r="CZ81" s="48"/>
      <c r="DA81" s="48"/>
      <c r="DB81" s="48"/>
      <c r="DC81" s="48"/>
      <c r="DD81" s="46"/>
      <c r="DE81" s="46"/>
      <c r="DF81" s="48"/>
      <c r="DG81" s="48"/>
      <c r="DH81" s="48"/>
      <c r="DI81" s="49"/>
      <c r="DJ81" s="50"/>
      <c r="DK81" s="50"/>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8"/>
      <c r="ES81" s="38"/>
      <c r="ET81" s="38"/>
      <c r="EU81" s="38"/>
      <c r="EV81" s="38"/>
      <c r="EW81" s="38"/>
      <c r="EX81" s="38"/>
      <c r="EY81" s="38"/>
    </row>
    <row r="82" spans="1:155">
      <c r="B82" s="557" t="s">
        <v>264</v>
      </c>
      <c r="C82" s="239"/>
      <c r="D82" s="239"/>
      <c r="E82" s="240"/>
      <c r="F82" s="241">
        <f t="shared" ref="F82:F111" si="283">VLOOKUP($E82,$CD$138:$DH$504,2,FALSE)</f>
        <v>0</v>
      </c>
      <c r="G82" s="239"/>
      <c r="H82" s="239"/>
      <c r="I82" s="239"/>
      <c r="J82" s="239"/>
      <c r="K82" s="239"/>
      <c r="L82" s="239"/>
      <c r="M82" s="239"/>
      <c r="N82" s="239"/>
      <c r="O82" s="239"/>
      <c r="P82" s="239"/>
      <c r="Q82" s="239"/>
      <c r="R82" s="239"/>
      <c r="S82" s="242">
        <f t="shared" ref="S82:S91" si="284">SUM(G82:R82)</f>
        <v>0</v>
      </c>
      <c r="T82" s="243">
        <f t="shared" ref="T82:T91" si="285">COUNT(G82:R82)</f>
        <v>0</v>
      </c>
      <c r="U82" s="242">
        <f t="shared" ref="U82:U91" si="286">IF(T82&gt;1,AVERAGE(G82:R82),0)</f>
        <v>0</v>
      </c>
      <c r="V82" s="242">
        <f t="shared" ref="V82:V91" si="287">IF(T82&gt;1,STDEV(G82:R82),0)</f>
        <v>0</v>
      </c>
      <c r="W82" s="242">
        <f t="shared" ref="W82:W112" si="288">IF(T82&gt;1,VLOOKUP($T82,$CD$414:$CE$426,2,FALSE),0)</f>
        <v>0</v>
      </c>
      <c r="X82" s="244"/>
      <c r="Y82" s="449">
        <f t="shared" ref="Y82:Y112" si="289">IF(X82&gt;0,X82,IF(T82&gt;1,1-((U82-((V82*W82)/(SQRT(T82))))/U82),VLOOKUP($E82,$CD$138:$DK$504,34,FALSE)))</f>
        <v>0</v>
      </c>
      <c r="Z82" s="250">
        <f>VLOOKUP($E82,$CD$138:$DH$504,8,FALSE)</f>
        <v>0</v>
      </c>
      <c r="AA82" s="246">
        <f>VLOOKUP($E82,$CD$138:$DH$504,9,FALSE)</f>
        <v>0</v>
      </c>
      <c r="AB82" s="450">
        <f>IF($S82&gt;0,VLOOKUP($E82,$CD$138:$DH$504,12,FALSE),0)</f>
        <v>0</v>
      </c>
      <c r="AC82" s="449">
        <f>IF($S82&gt;0,VLOOKUP($E82,$CD$138:$DH$504,11,FALSE),0)</f>
        <v>0</v>
      </c>
      <c r="AD82" s="451">
        <f>($S82*Z82)/1000</f>
        <v>0</v>
      </c>
      <c r="AE82" s="451">
        <f t="shared" ref="AE82:AE112" si="290">AD82*$CE$432</f>
        <v>0</v>
      </c>
      <c r="AF82" s="449">
        <f t="shared" ref="AF82:AF101" si="291">IF(AD82&gt;0,SQRT(($Y82*$Y82)+(AC82*AC82)),0)</f>
        <v>0</v>
      </c>
      <c r="AG82" s="449">
        <f t="shared" ref="AG82:AG101" si="292">IF(AE82&gt;0,SQRT(($Y82*$Y82)+(AD82*AD82)),0)</f>
        <v>0</v>
      </c>
      <c r="AH82" s="250">
        <f>VLOOKUP($E82,$CD$138:$DH$504,3,FALSE)</f>
        <v>0</v>
      </c>
      <c r="AI82" s="246">
        <f>VLOOKUP($E82,$CD$138:$DH$504,4,FALSE)</f>
        <v>0</v>
      </c>
      <c r="AJ82" s="450">
        <f>IF($S82&gt;0,VLOOKUP($E82,$CD$138:$DH$504,7,FALSE),0)</f>
        <v>0</v>
      </c>
      <c r="AK82" s="449">
        <f>IF($S82&gt;0,VLOOKUP($E82,$CD$138:$DH$504,6,FALSE),0)</f>
        <v>0</v>
      </c>
      <c r="AL82" s="451">
        <f t="shared" ref="AL82:AL91" si="293">($S82*AH82)/1000</f>
        <v>0</v>
      </c>
      <c r="AM82" s="452">
        <f t="shared" ref="AM82:AM112" si="294">AL82*$CE$433</f>
        <v>0</v>
      </c>
      <c r="AN82" s="449">
        <f t="shared" ref="AN82:AN101" si="295">IF(AL82&gt;0,SQRT(($Y82*$Y82)+(AK82*AK82)),0)</f>
        <v>0</v>
      </c>
      <c r="AO82" s="451">
        <f t="shared" ref="AO82:AO91" si="296">(AM82*AN82)^2</f>
        <v>0</v>
      </c>
      <c r="AP82" s="250">
        <f>VLOOKUP($E82,$CD$138:$DH$504,13,FALSE)</f>
        <v>0</v>
      </c>
      <c r="AQ82" s="246">
        <f>VLOOKUP($E82,$CD$138:$DH$504,14,FALSE)</f>
        <v>0</v>
      </c>
      <c r="AR82" s="450">
        <f>IF($S82&gt;0,VLOOKUP($E82,$CD$138:$DH$504,17,FALSE),0)</f>
        <v>0</v>
      </c>
      <c r="AS82" s="449">
        <f>IF($S82&gt;0,VLOOKUP($E82,$CD$138:$DH$504,16,FALSE),0)</f>
        <v>0</v>
      </c>
      <c r="AT82" s="452">
        <f t="shared" ref="AT82:AT101" si="297">($S82*AP82)/1000</f>
        <v>0</v>
      </c>
      <c r="AU82" s="452">
        <f t="shared" ref="AU82:AU112" si="298">AT82*$CE$434</f>
        <v>0</v>
      </c>
      <c r="AV82" s="449">
        <f t="shared" ref="AV82:AV101" si="299">IF(AT82&gt;0,SQRT(($Y82*$Y82)+(AS82*AS82)),0)</f>
        <v>0</v>
      </c>
      <c r="AW82" s="449">
        <f t="shared" ref="AW82:AW101" si="300">IF(AU82&gt;0,SQRT(($Y82*$Y82)+(AT82*AT82)),0)</f>
        <v>0</v>
      </c>
      <c r="AX82" s="248">
        <v>0</v>
      </c>
      <c r="AY82" s="246">
        <v>0</v>
      </c>
      <c r="AZ82" s="450">
        <v>0</v>
      </c>
      <c r="BA82" s="449">
        <v>0</v>
      </c>
      <c r="BB82" s="452">
        <v>0</v>
      </c>
      <c r="BC82" s="449">
        <f t="shared" ref="BC82:BC101" si="301">IF(BB82&gt;0,SQRT(($Y82*$Y82)+(BA82*BA82)),0)</f>
        <v>0</v>
      </c>
      <c r="BD82" s="451">
        <f t="shared" ref="BD82:BD91" si="302">(BB82*BC82)^2</f>
        <v>0</v>
      </c>
      <c r="BE82" s="248">
        <v>0</v>
      </c>
      <c r="BF82" s="246">
        <v>0</v>
      </c>
      <c r="BG82" s="450">
        <v>0</v>
      </c>
      <c r="BH82" s="449">
        <v>0</v>
      </c>
      <c r="BI82" s="452">
        <v>0</v>
      </c>
      <c r="BJ82" s="449">
        <f t="shared" ref="BJ82:BJ112" si="303">IF(BI82&gt;0,SQRT(($Y82*$Y82)+(BH82*BH82)),0)</f>
        <v>0</v>
      </c>
      <c r="BK82" s="451">
        <f t="shared" ref="BK82:BK97" si="304">(BI82*BJ82)^2</f>
        <v>0</v>
      </c>
      <c r="BL82" s="248">
        <v>0</v>
      </c>
      <c r="BM82" s="246">
        <v>0</v>
      </c>
      <c r="BN82" s="450">
        <v>0</v>
      </c>
      <c r="BO82" s="449">
        <v>0</v>
      </c>
      <c r="BP82" s="452">
        <f t="shared" ref="BP82:BP91" si="305">($S82*BL82)/1000</f>
        <v>0</v>
      </c>
      <c r="BQ82" s="452">
        <f t="shared" ref="BQ82:BQ112" si="306">BP82*$CE$435</f>
        <v>0</v>
      </c>
      <c r="BR82" s="449">
        <f t="shared" ref="BR82:BR101" si="307">IF(BP82&gt;0,SQRT(($Y82*$Y82)+(BO82*BO82)),0)</f>
        <v>0</v>
      </c>
      <c r="BS82" s="451">
        <f t="shared" ref="BS82:BS91" si="308">(BQ82*BR82)^2</f>
        <v>0</v>
      </c>
      <c r="BT82" s="248">
        <v>0</v>
      </c>
      <c r="BU82" s="246">
        <v>0</v>
      </c>
      <c r="BV82" s="450">
        <v>0</v>
      </c>
      <c r="BW82" s="449">
        <v>0</v>
      </c>
      <c r="BX82" s="452">
        <v>0</v>
      </c>
      <c r="BY82" s="449">
        <v>0</v>
      </c>
      <c r="BZ82" s="451">
        <f t="shared" ref="BZ82:BZ112" si="309">(BX82*BY82)^2</f>
        <v>0</v>
      </c>
      <c r="CA82" s="242">
        <f t="shared" ref="CA82:CA112" si="310">IF(C82="EmisionesGEI",D82,AE82+AM82+AU82+BB82+BQ82)</f>
        <v>0</v>
      </c>
      <c r="CB82" s="453">
        <f t="shared" ref="CB82:CB112" si="311">IF(CA82&gt;0,SQRT(AG82+AO82+AW82+BD82+BS82)/CA82,0)</f>
        <v>0</v>
      </c>
      <c r="CC82" s="45">
        <f>(CA82*CB82)^2</f>
        <v>0</v>
      </c>
    </row>
    <row r="83" spans="1:155">
      <c r="B83" s="559"/>
      <c r="C83" s="239"/>
      <c r="D83" s="239"/>
      <c r="E83" s="240"/>
      <c r="F83" s="241">
        <f t="shared" si="283"/>
        <v>0</v>
      </c>
      <c r="G83" s="239"/>
      <c r="H83" s="239"/>
      <c r="I83" s="239"/>
      <c r="J83" s="239"/>
      <c r="K83" s="239"/>
      <c r="L83" s="239"/>
      <c r="M83" s="239"/>
      <c r="N83" s="239"/>
      <c r="O83" s="239"/>
      <c r="P83" s="239"/>
      <c r="Q83" s="239"/>
      <c r="R83" s="239"/>
      <c r="S83" s="242">
        <f t="shared" ref="S83:S84" si="312">SUM(G83:R83)</f>
        <v>0</v>
      </c>
      <c r="T83" s="243">
        <f t="shared" ref="T83:T84" si="313">COUNT(G83:R83)</f>
        <v>0</v>
      </c>
      <c r="U83" s="242">
        <f t="shared" ref="U83:U84" si="314">IF(T83&gt;1,AVERAGE(G83:R83),0)</f>
        <v>0</v>
      </c>
      <c r="V83" s="242">
        <f t="shared" ref="V83:V84" si="315">IF(T83&gt;1,STDEV(G83:R83),0)</f>
        <v>0</v>
      </c>
      <c r="W83" s="242">
        <f t="shared" si="288"/>
        <v>0</v>
      </c>
      <c r="X83" s="244"/>
      <c r="Y83" s="449">
        <f t="shared" si="289"/>
        <v>0</v>
      </c>
      <c r="Z83" s="250">
        <f>VLOOKUP($E83,$CD$138:$DH$504,8,FALSE)</f>
        <v>0</v>
      </c>
      <c r="AA83" s="246">
        <f>VLOOKUP($E83,$CD$138:$DH$504,9,FALSE)</f>
        <v>0</v>
      </c>
      <c r="AB83" s="450">
        <f>IF($S83&gt;0,VLOOKUP($E83,$CD$138:$DH$504,12,FALSE),0)</f>
        <v>0</v>
      </c>
      <c r="AC83" s="449">
        <f>IF($S83&gt;0,VLOOKUP($E83,$CD$138:$DH$504,11,FALSE),0)</f>
        <v>0</v>
      </c>
      <c r="AD83" s="451">
        <f t="shared" ref="AD83:AD84" si="316">($S83*Z83)/1000</f>
        <v>0</v>
      </c>
      <c r="AE83" s="451">
        <f t="shared" si="290"/>
        <v>0</v>
      </c>
      <c r="AF83" s="449">
        <f t="shared" ref="AF83:AF84" si="317">IF(AD83&gt;0,SQRT(($Y83*$Y83)+(AC83*AC83)),0)</f>
        <v>0</v>
      </c>
      <c r="AG83" s="449">
        <f t="shared" ref="AG83:AG84" si="318">IF(AE83&gt;0,SQRT(($Y83*$Y83)+(AD83*AD83)),0)</f>
        <v>0</v>
      </c>
      <c r="AH83" s="250">
        <f>VLOOKUP($E83,$CD$138:$DH$504,3,FALSE)</f>
        <v>0</v>
      </c>
      <c r="AI83" s="246">
        <f>VLOOKUP($E83,$CD$138:$DH$504,4,FALSE)</f>
        <v>0</v>
      </c>
      <c r="AJ83" s="450">
        <f>IF($S83&gt;0,VLOOKUP($E83,$CD$138:$DH$504,7,FALSE),0)</f>
        <v>0</v>
      </c>
      <c r="AK83" s="449">
        <f>IF($S83&gt;0,VLOOKUP($E83,$CD$138:$DH$504,6,FALSE),0)</f>
        <v>0</v>
      </c>
      <c r="AL83" s="451">
        <f t="shared" ref="AL83:AL84" si="319">($S83*AH83)/1000</f>
        <v>0</v>
      </c>
      <c r="AM83" s="452">
        <f t="shared" si="294"/>
        <v>0</v>
      </c>
      <c r="AN83" s="449">
        <f t="shared" ref="AN83:AN84" si="320">IF(AL83&gt;0,SQRT(($Y83*$Y83)+(AK83*AK83)),0)</f>
        <v>0</v>
      </c>
      <c r="AO83" s="451">
        <f t="shared" ref="AO83:AO84" si="321">(AM83*AN83)^2</f>
        <v>0</v>
      </c>
      <c r="AP83" s="250">
        <f>VLOOKUP($E83,$CD$138:$DH$504,13,FALSE)</f>
        <v>0</v>
      </c>
      <c r="AQ83" s="246">
        <f>VLOOKUP($E83,$CD$138:$DH$504,14,FALSE)</f>
        <v>0</v>
      </c>
      <c r="AR83" s="450">
        <f>IF($S83&gt;0,VLOOKUP($E83,$CD$138:$DH$504,17,FALSE),0)</f>
        <v>0</v>
      </c>
      <c r="AS83" s="449">
        <f>IF($S83&gt;0,VLOOKUP($E83,$CD$138:$DH$504,16,FALSE),0)</f>
        <v>0</v>
      </c>
      <c r="AT83" s="452">
        <f t="shared" si="297"/>
        <v>0</v>
      </c>
      <c r="AU83" s="452">
        <f t="shared" si="298"/>
        <v>0</v>
      </c>
      <c r="AV83" s="449">
        <f t="shared" ref="AV83:AV84" si="322">IF(AT83&gt;0,SQRT(($Y83*$Y83)+(AS83*AS83)),0)</f>
        <v>0</v>
      </c>
      <c r="AW83" s="449">
        <f t="shared" ref="AW83:AW84" si="323">IF(AU83&gt;0,SQRT(($Y83*$Y83)+(AT83*AT83)),0)</f>
        <v>0</v>
      </c>
      <c r="AX83" s="248">
        <v>0</v>
      </c>
      <c r="AY83" s="246">
        <v>0</v>
      </c>
      <c r="AZ83" s="450">
        <v>0</v>
      </c>
      <c r="BA83" s="449">
        <v>0</v>
      </c>
      <c r="BB83" s="452">
        <v>0</v>
      </c>
      <c r="BC83" s="449">
        <f t="shared" ref="BC83:BC84" si="324">IF(BB83&gt;0,SQRT(($Y83*$Y83)+(BA83*BA83)),0)</f>
        <v>0</v>
      </c>
      <c r="BD83" s="451">
        <f t="shared" ref="BD83:BD84" si="325">(BB83*BC83)^2</f>
        <v>0</v>
      </c>
      <c r="BE83" s="248">
        <v>0</v>
      </c>
      <c r="BF83" s="246">
        <v>0</v>
      </c>
      <c r="BG83" s="450">
        <v>0</v>
      </c>
      <c r="BH83" s="449">
        <v>0</v>
      </c>
      <c r="BI83" s="452">
        <v>0</v>
      </c>
      <c r="BJ83" s="449">
        <f t="shared" si="303"/>
        <v>0</v>
      </c>
      <c r="BK83" s="451">
        <f t="shared" si="304"/>
        <v>0</v>
      </c>
      <c r="BL83" s="248">
        <v>0</v>
      </c>
      <c r="BM83" s="246">
        <v>0</v>
      </c>
      <c r="BN83" s="450">
        <v>0</v>
      </c>
      <c r="BO83" s="449">
        <v>0</v>
      </c>
      <c r="BP83" s="452">
        <f t="shared" ref="BP83:BP84" si="326">($S83*BL83)/1000</f>
        <v>0</v>
      </c>
      <c r="BQ83" s="452">
        <f t="shared" si="306"/>
        <v>0</v>
      </c>
      <c r="BR83" s="449">
        <f t="shared" ref="BR83:BR84" si="327">IF(BP83&gt;0,SQRT(($Y83*$Y83)+(BO83*BO83)),0)</f>
        <v>0</v>
      </c>
      <c r="BS83" s="451">
        <f t="shared" ref="BS83:BS84" si="328">(BQ83*BR83)^2</f>
        <v>0</v>
      </c>
      <c r="BT83" s="248">
        <v>0</v>
      </c>
      <c r="BU83" s="246">
        <v>0</v>
      </c>
      <c r="BV83" s="450">
        <v>0</v>
      </c>
      <c r="BW83" s="449">
        <v>0</v>
      </c>
      <c r="BX83" s="452">
        <v>0</v>
      </c>
      <c r="BY83" s="449">
        <v>0</v>
      </c>
      <c r="BZ83" s="451">
        <f t="shared" ref="BZ83:BZ84" si="329">(BX83*BY83)^2</f>
        <v>0</v>
      </c>
      <c r="CA83" s="242">
        <f t="shared" ref="CA83:CA84" si="330">IF(C83="EmisionesGEI",D83,AE83+AM83+AU83+BB83+BQ83)</f>
        <v>0</v>
      </c>
      <c r="CB83" s="453">
        <f t="shared" ref="CB83:CB84" si="331">IF(CA83&gt;0,SQRT(AG83+AO83+AW83+BD83+BS83)/CA83,0)</f>
        <v>0</v>
      </c>
      <c r="CC83" s="45">
        <f t="shared" ref="CC83:CC84" si="332">(CA83*CB83)^2</f>
        <v>0</v>
      </c>
    </row>
    <row r="84" spans="1:155">
      <c r="B84" s="559"/>
      <c r="C84" s="239"/>
      <c r="D84" s="239"/>
      <c r="E84" s="240"/>
      <c r="F84" s="241">
        <f t="shared" si="283"/>
        <v>0</v>
      </c>
      <c r="G84" s="239"/>
      <c r="H84" s="239"/>
      <c r="I84" s="239"/>
      <c r="J84" s="239"/>
      <c r="K84" s="239"/>
      <c r="L84" s="239"/>
      <c r="M84" s="239"/>
      <c r="N84" s="239"/>
      <c r="O84" s="239"/>
      <c r="P84" s="239"/>
      <c r="Q84" s="239"/>
      <c r="R84" s="239"/>
      <c r="S84" s="242">
        <f t="shared" si="312"/>
        <v>0</v>
      </c>
      <c r="T84" s="243">
        <f t="shared" si="313"/>
        <v>0</v>
      </c>
      <c r="U84" s="242">
        <f t="shared" si="314"/>
        <v>0</v>
      </c>
      <c r="V84" s="242">
        <f t="shared" si="315"/>
        <v>0</v>
      </c>
      <c r="W84" s="242">
        <f t="shared" si="288"/>
        <v>0</v>
      </c>
      <c r="X84" s="244"/>
      <c r="Y84" s="449">
        <f t="shared" si="289"/>
        <v>0</v>
      </c>
      <c r="Z84" s="250">
        <f>VLOOKUP($E84,$CD$138:$DH$504,8,FALSE)</f>
        <v>0</v>
      </c>
      <c r="AA84" s="246">
        <f>VLOOKUP($E84,$CD$138:$DH$504,9,FALSE)</f>
        <v>0</v>
      </c>
      <c r="AB84" s="450">
        <f>IF($S84&gt;0,VLOOKUP($E84,$CD$138:$DH$504,12,FALSE),0)</f>
        <v>0</v>
      </c>
      <c r="AC84" s="449">
        <f>IF($S84&gt;0,VLOOKUP($E84,$CD$138:$DH$504,11,FALSE),0)</f>
        <v>0</v>
      </c>
      <c r="AD84" s="451">
        <f t="shared" si="316"/>
        <v>0</v>
      </c>
      <c r="AE84" s="451">
        <f t="shared" si="290"/>
        <v>0</v>
      </c>
      <c r="AF84" s="449">
        <f t="shared" si="317"/>
        <v>0</v>
      </c>
      <c r="AG84" s="449">
        <f t="shared" si="318"/>
        <v>0</v>
      </c>
      <c r="AH84" s="250">
        <f>VLOOKUP($E84,$CD$138:$DH$504,3,FALSE)</f>
        <v>0</v>
      </c>
      <c r="AI84" s="246">
        <f>VLOOKUP($E84,$CD$138:$DH$504,4,FALSE)</f>
        <v>0</v>
      </c>
      <c r="AJ84" s="450">
        <f>IF($S84&gt;0,VLOOKUP($E84,$CD$138:$DH$504,7,FALSE),0)</f>
        <v>0</v>
      </c>
      <c r="AK84" s="449">
        <f>IF($S84&gt;0,VLOOKUP($E84,$CD$138:$DH$504,6,FALSE),0)</f>
        <v>0</v>
      </c>
      <c r="AL84" s="451">
        <f t="shared" si="319"/>
        <v>0</v>
      </c>
      <c r="AM84" s="452">
        <f t="shared" si="294"/>
        <v>0</v>
      </c>
      <c r="AN84" s="449">
        <f t="shared" si="320"/>
        <v>0</v>
      </c>
      <c r="AO84" s="451">
        <f t="shared" si="321"/>
        <v>0</v>
      </c>
      <c r="AP84" s="250">
        <f>VLOOKUP($E84,$CD$138:$DH$504,13,FALSE)</f>
        <v>0</v>
      </c>
      <c r="AQ84" s="246">
        <f>VLOOKUP($E84,$CD$138:$DH$504,14,FALSE)</f>
        <v>0</v>
      </c>
      <c r="AR84" s="450">
        <f>IF($S84&gt;0,VLOOKUP($E84,$CD$138:$DH$504,17,FALSE),0)</f>
        <v>0</v>
      </c>
      <c r="AS84" s="449">
        <f>IF($S84&gt;0,VLOOKUP($E84,$CD$138:$DH$504,16,FALSE),0)</f>
        <v>0</v>
      </c>
      <c r="AT84" s="452">
        <f t="shared" si="297"/>
        <v>0</v>
      </c>
      <c r="AU84" s="452">
        <f t="shared" si="298"/>
        <v>0</v>
      </c>
      <c r="AV84" s="449">
        <f t="shared" si="322"/>
        <v>0</v>
      </c>
      <c r="AW84" s="449">
        <f t="shared" si="323"/>
        <v>0</v>
      </c>
      <c r="AX84" s="248">
        <v>0</v>
      </c>
      <c r="AY84" s="246">
        <v>0</v>
      </c>
      <c r="AZ84" s="450">
        <v>0</v>
      </c>
      <c r="BA84" s="449">
        <v>0</v>
      </c>
      <c r="BB84" s="452">
        <v>0</v>
      </c>
      <c r="BC84" s="449">
        <f t="shared" si="324"/>
        <v>0</v>
      </c>
      <c r="BD84" s="451">
        <f t="shared" si="325"/>
        <v>0</v>
      </c>
      <c r="BE84" s="248">
        <v>0</v>
      </c>
      <c r="BF84" s="246">
        <v>0</v>
      </c>
      <c r="BG84" s="450">
        <v>0</v>
      </c>
      <c r="BH84" s="449">
        <v>0</v>
      </c>
      <c r="BI84" s="452">
        <v>0</v>
      </c>
      <c r="BJ84" s="449">
        <f t="shared" si="303"/>
        <v>0</v>
      </c>
      <c r="BK84" s="451">
        <f t="shared" si="304"/>
        <v>0</v>
      </c>
      <c r="BL84" s="248">
        <v>0</v>
      </c>
      <c r="BM84" s="246">
        <v>0</v>
      </c>
      <c r="BN84" s="450">
        <v>0</v>
      </c>
      <c r="BO84" s="449">
        <v>0</v>
      </c>
      <c r="BP84" s="452">
        <f t="shared" si="326"/>
        <v>0</v>
      </c>
      <c r="BQ84" s="452">
        <f t="shared" si="306"/>
        <v>0</v>
      </c>
      <c r="BR84" s="449">
        <f t="shared" si="327"/>
        <v>0</v>
      </c>
      <c r="BS84" s="451">
        <f t="shared" si="328"/>
        <v>0</v>
      </c>
      <c r="BT84" s="248">
        <v>0</v>
      </c>
      <c r="BU84" s="246">
        <v>0</v>
      </c>
      <c r="BV84" s="450">
        <v>0</v>
      </c>
      <c r="BW84" s="449">
        <v>0</v>
      </c>
      <c r="BX84" s="452">
        <v>0</v>
      </c>
      <c r="BY84" s="449">
        <v>0</v>
      </c>
      <c r="BZ84" s="451">
        <f t="shared" si="329"/>
        <v>0</v>
      </c>
      <c r="CA84" s="242">
        <f t="shared" si="330"/>
        <v>0</v>
      </c>
      <c r="CB84" s="453">
        <f t="shared" si="331"/>
        <v>0</v>
      </c>
      <c r="CC84" s="45">
        <f t="shared" si="332"/>
        <v>0</v>
      </c>
    </row>
    <row r="85" spans="1:155">
      <c r="B85" s="558"/>
      <c r="C85" s="239"/>
      <c r="D85" s="239"/>
      <c r="E85" s="240"/>
      <c r="F85" s="241">
        <f t="shared" si="283"/>
        <v>0</v>
      </c>
      <c r="G85" s="239"/>
      <c r="H85" s="239"/>
      <c r="I85" s="239"/>
      <c r="J85" s="239"/>
      <c r="K85" s="239"/>
      <c r="L85" s="239"/>
      <c r="M85" s="239"/>
      <c r="N85" s="239"/>
      <c r="O85" s="239"/>
      <c r="P85" s="239"/>
      <c r="Q85" s="239"/>
      <c r="R85" s="239"/>
      <c r="S85" s="242">
        <f t="shared" si="284"/>
        <v>0</v>
      </c>
      <c r="T85" s="243">
        <f t="shared" si="285"/>
        <v>0</v>
      </c>
      <c r="U85" s="242">
        <f t="shared" si="286"/>
        <v>0</v>
      </c>
      <c r="V85" s="242">
        <f t="shared" si="287"/>
        <v>0</v>
      </c>
      <c r="W85" s="242">
        <f t="shared" si="288"/>
        <v>0</v>
      </c>
      <c r="X85" s="244"/>
      <c r="Y85" s="449">
        <f t="shared" si="289"/>
        <v>0</v>
      </c>
      <c r="Z85" s="250">
        <f>VLOOKUP($E85,$CD$138:$DH$504,8,FALSE)</f>
        <v>0</v>
      </c>
      <c r="AA85" s="246">
        <f>VLOOKUP($E85,$CD$138:$DH$504,9,FALSE)</f>
        <v>0</v>
      </c>
      <c r="AB85" s="450">
        <f>IF($S85&gt;0,VLOOKUP($E85,$CD$138:$DH$504,12,FALSE),0)</f>
        <v>0</v>
      </c>
      <c r="AC85" s="449">
        <f>IF($S85&gt;0,VLOOKUP($E85,$CD$138:$DH$504,11,FALSE),0)</f>
        <v>0</v>
      </c>
      <c r="AD85" s="451">
        <f t="shared" ref="AD85:AD112" si="333">($S85*Z85)/1000</f>
        <v>0</v>
      </c>
      <c r="AE85" s="451">
        <f t="shared" si="290"/>
        <v>0</v>
      </c>
      <c r="AF85" s="449">
        <f t="shared" si="291"/>
        <v>0</v>
      </c>
      <c r="AG85" s="449">
        <f t="shared" si="292"/>
        <v>0</v>
      </c>
      <c r="AH85" s="250">
        <f>VLOOKUP($E85,$CD$138:$DH$504,3,FALSE)</f>
        <v>0</v>
      </c>
      <c r="AI85" s="246">
        <f>VLOOKUP($E85,$CD$138:$DH$504,4,FALSE)</f>
        <v>0</v>
      </c>
      <c r="AJ85" s="450">
        <f>IF($S85&gt;0,VLOOKUP($E85,$CD$138:$DH$504,7,FALSE),0)</f>
        <v>0</v>
      </c>
      <c r="AK85" s="449">
        <f>IF($S85&gt;0,VLOOKUP($E85,$CD$138:$DH$504,6,FALSE),0)</f>
        <v>0</v>
      </c>
      <c r="AL85" s="451">
        <f t="shared" si="293"/>
        <v>0</v>
      </c>
      <c r="AM85" s="452">
        <f t="shared" si="294"/>
        <v>0</v>
      </c>
      <c r="AN85" s="449">
        <f t="shared" si="295"/>
        <v>0</v>
      </c>
      <c r="AO85" s="451">
        <f t="shared" si="296"/>
        <v>0</v>
      </c>
      <c r="AP85" s="250">
        <f>VLOOKUP($E85,$CD$138:$DH$504,13,FALSE)</f>
        <v>0</v>
      </c>
      <c r="AQ85" s="246">
        <f>VLOOKUP($E85,$CD$138:$DH$504,14,FALSE)</f>
        <v>0</v>
      </c>
      <c r="AR85" s="450">
        <f>IF($S85&gt;0,VLOOKUP($E85,$CD$138:$DH$504,17,FALSE),0)</f>
        <v>0</v>
      </c>
      <c r="AS85" s="449">
        <f>IF($S85&gt;0,VLOOKUP($E85,$CD$138:$DH$504,16,FALSE),0)</f>
        <v>0</v>
      </c>
      <c r="AT85" s="452">
        <f t="shared" si="297"/>
        <v>0</v>
      </c>
      <c r="AU85" s="452">
        <f t="shared" si="298"/>
        <v>0</v>
      </c>
      <c r="AV85" s="449">
        <f t="shared" si="299"/>
        <v>0</v>
      </c>
      <c r="AW85" s="449">
        <f t="shared" si="300"/>
        <v>0</v>
      </c>
      <c r="AX85" s="248">
        <v>0</v>
      </c>
      <c r="AY85" s="246">
        <v>0</v>
      </c>
      <c r="AZ85" s="450">
        <v>0</v>
      </c>
      <c r="BA85" s="449">
        <v>0</v>
      </c>
      <c r="BB85" s="452">
        <v>0</v>
      </c>
      <c r="BC85" s="449">
        <f t="shared" si="301"/>
        <v>0</v>
      </c>
      <c r="BD85" s="451">
        <f t="shared" si="302"/>
        <v>0</v>
      </c>
      <c r="BE85" s="248">
        <v>0</v>
      </c>
      <c r="BF85" s="246">
        <v>0</v>
      </c>
      <c r="BG85" s="450">
        <v>0</v>
      </c>
      <c r="BH85" s="449">
        <v>0</v>
      </c>
      <c r="BI85" s="452">
        <v>0</v>
      </c>
      <c r="BJ85" s="449">
        <f t="shared" si="303"/>
        <v>0</v>
      </c>
      <c r="BK85" s="451">
        <f t="shared" si="304"/>
        <v>0</v>
      </c>
      <c r="BL85" s="248">
        <v>0</v>
      </c>
      <c r="BM85" s="246">
        <v>0</v>
      </c>
      <c r="BN85" s="450">
        <v>0</v>
      </c>
      <c r="BO85" s="449">
        <v>0</v>
      </c>
      <c r="BP85" s="452">
        <f t="shared" si="305"/>
        <v>0</v>
      </c>
      <c r="BQ85" s="452">
        <f t="shared" si="306"/>
        <v>0</v>
      </c>
      <c r="BR85" s="449">
        <f t="shared" si="307"/>
        <v>0</v>
      </c>
      <c r="BS85" s="451">
        <f t="shared" si="308"/>
        <v>0</v>
      </c>
      <c r="BT85" s="248">
        <v>0</v>
      </c>
      <c r="BU85" s="246">
        <v>0</v>
      </c>
      <c r="BV85" s="450">
        <v>0</v>
      </c>
      <c r="BW85" s="449">
        <v>0</v>
      </c>
      <c r="BX85" s="452">
        <v>0</v>
      </c>
      <c r="BY85" s="449">
        <v>0</v>
      </c>
      <c r="BZ85" s="451">
        <f t="shared" si="309"/>
        <v>0</v>
      </c>
      <c r="CA85" s="242">
        <f t="shared" si="310"/>
        <v>0</v>
      </c>
      <c r="CB85" s="453">
        <f t="shared" si="311"/>
        <v>0</v>
      </c>
      <c r="CC85" s="45">
        <f t="shared" si="50"/>
        <v>0</v>
      </c>
    </row>
    <row r="86" spans="1:155">
      <c r="B86" s="557" t="s">
        <v>265</v>
      </c>
      <c r="C86" s="239"/>
      <c r="D86" s="239"/>
      <c r="E86" s="252"/>
      <c r="F86" s="241">
        <f t="shared" si="283"/>
        <v>0</v>
      </c>
      <c r="G86" s="239"/>
      <c r="H86" s="239"/>
      <c r="I86" s="239"/>
      <c r="J86" s="239"/>
      <c r="K86" s="239"/>
      <c r="L86" s="239"/>
      <c r="M86" s="239"/>
      <c r="N86" s="239"/>
      <c r="O86" s="239"/>
      <c r="P86" s="239"/>
      <c r="Q86" s="239"/>
      <c r="R86" s="239"/>
      <c r="S86" s="242">
        <f t="shared" ref="S86" si="334">SUM(G86:R86)</f>
        <v>0</v>
      </c>
      <c r="T86" s="243">
        <f t="shared" ref="T86" si="335">COUNT(G86:R86)</f>
        <v>0</v>
      </c>
      <c r="U86" s="242">
        <f t="shared" ref="U86" si="336">IF(T86&gt;1,AVERAGE(G86:R86),0)</f>
        <v>0</v>
      </c>
      <c r="V86" s="242">
        <f t="shared" ref="V86" si="337">IF(T86&gt;1,STDEV(G86:R86),0)</f>
        <v>0</v>
      </c>
      <c r="W86" s="242">
        <f t="shared" si="288"/>
        <v>0</v>
      </c>
      <c r="X86" s="244"/>
      <c r="Y86" s="449">
        <f t="shared" si="289"/>
        <v>0</v>
      </c>
      <c r="Z86" s="250">
        <f>VLOOKUP($E86,$CD$138:$DH$504,3,FALSE)</f>
        <v>0</v>
      </c>
      <c r="AA86" s="246">
        <f>VLOOKUP($E86,$CD$138:$DH$504,4,FALSE)</f>
        <v>0</v>
      </c>
      <c r="AB86" s="450">
        <f>IF($S86&gt;0,VLOOKUP($E86,$CD$138:$DH$504,7,FALSE),0)</f>
        <v>0</v>
      </c>
      <c r="AC86" s="449">
        <f>IF($S86&gt;0,VLOOKUP($E86,$CD$138:$DH$504,6,FALSE),0)</f>
        <v>0</v>
      </c>
      <c r="AD86" s="451">
        <f t="shared" ref="AD86" si="338">($S86*Z86)/1000</f>
        <v>0</v>
      </c>
      <c r="AE86" s="451">
        <f t="shared" si="290"/>
        <v>0</v>
      </c>
      <c r="AF86" s="449">
        <f t="shared" ref="AF86" si="339">IF(AD86&gt;0,SQRT(($Y86*$Y86)+(AC86*AC86)),0)</f>
        <v>0</v>
      </c>
      <c r="AG86" s="449">
        <f t="shared" ref="AG86" si="340">IF(AE86&gt;0,SQRT(($Y86*$Y86)+(AD86*AD86)),0)</f>
        <v>0</v>
      </c>
      <c r="AH86" s="250">
        <v>0</v>
      </c>
      <c r="AI86" s="246">
        <v>0</v>
      </c>
      <c r="AJ86" s="450">
        <v>0</v>
      </c>
      <c r="AK86" s="449">
        <v>0</v>
      </c>
      <c r="AL86" s="452">
        <f t="shared" si="293"/>
        <v>0</v>
      </c>
      <c r="AM86" s="452">
        <f t="shared" si="294"/>
        <v>0</v>
      </c>
      <c r="AN86" s="449">
        <f>IF(AL86&gt;0,SQRT(($Y86*$Y86)+(AC86*AC86)),0)</f>
        <v>0</v>
      </c>
      <c r="AO86" s="451">
        <f t="shared" ref="AO86" si="341">(AM86*AN86)^2</f>
        <v>0</v>
      </c>
      <c r="AP86" s="250">
        <v>0</v>
      </c>
      <c r="AQ86" s="246">
        <v>0</v>
      </c>
      <c r="AR86" s="450">
        <v>0</v>
      </c>
      <c r="AS86" s="449">
        <v>0</v>
      </c>
      <c r="AT86" s="452">
        <f t="shared" si="297"/>
        <v>0</v>
      </c>
      <c r="AU86" s="452">
        <f t="shared" si="298"/>
        <v>0</v>
      </c>
      <c r="AV86" s="449">
        <f t="shared" ref="AV86" si="342">IF(AT86&gt;0,SQRT(($Y86*$Y86)+(AS86*AS86)),0)</f>
        <v>0</v>
      </c>
      <c r="AW86" s="449">
        <f t="shared" ref="AW86" si="343">IF(AU86&gt;0,SQRT(($Y86*$Y86)+(AT86*AT86)),0)</f>
        <v>0</v>
      </c>
      <c r="AX86" s="248">
        <v>0</v>
      </c>
      <c r="AY86" s="246">
        <v>0</v>
      </c>
      <c r="AZ86" s="450">
        <v>0</v>
      </c>
      <c r="BA86" s="449">
        <v>0</v>
      </c>
      <c r="BB86" s="452">
        <v>0</v>
      </c>
      <c r="BC86" s="449">
        <f t="shared" ref="BC86" si="344">IF(BB86&gt;0,SQRT(($Y86*$Y86)+(BA86*BA86)),0)</f>
        <v>0</v>
      </c>
      <c r="BD86" s="451">
        <f t="shared" ref="BD86" si="345">(BB86*BC86)^2</f>
        <v>0</v>
      </c>
      <c r="BE86" s="248">
        <v>0</v>
      </c>
      <c r="BF86" s="246">
        <v>0</v>
      </c>
      <c r="BG86" s="450">
        <v>0</v>
      </c>
      <c r="BH86" s="449">
        <v>0</v>
      </c>
      <c r="BI86" s="452">
        <v>0</v>
      </c>
      <c r="BJ86" s="449">
        <f t="shared" si="303"/>
        <v>0</v>
      </c>
      <c r="BK86" s="451">
        <f t="shared" si="304"/>
        <v>0</v>
      </c>
      <c r="BL86" s="248">
        <v>0</v>
      </c>
      <c r="BM86" s="246">
        <v>0</v>
      </c>
      <c r="BN86" s="450">
        <v>0</v>
      </c>
      <c r="BO86" s="449">
        <v>0</v>
      </c>
      <c r="BP86" s="452">
        <f t="shared" ref="BP86" si="346">($S86*BL86)/1000</f>
        <v>0</v>
      </c>
      <c r="BQ86" s="452">
        <f t="shared" si="306"/>
        <v>0</v>
      </c>
      <c r="BR86" s="449">
        <f t="shared" ref="BR86" si="347">IF(BP86&gt;0,SQRT(($Y86*$Y86)+(BO86*BO86)),0)</f>
        <v>0</v>
      </c>
      <c r="BS86" s="451">
        <f t="shared" ref="BS86" si="348">(BQ86*BR86)^2</f>
        <v>0</v>
      </c>
      <c r="BT86" s="248">
        <v>0</v>
      </c>
      <c r="BU86" s="246">
        <v>0</v>
      </c>
      <c r="BV86" s="450">
        <v>0</v>
      </c>
      <c r="BW86" s="449">
        <v>0</v>
      </c>
      <c r="BX86" s="452">
        <v>0</v>
      </c>
      <c r="BY86" s="449">
        <v>0</v>
      </c>
      <c r="BZ86" s="451">
        <f t="shared" ref="BZ86" si="349">(BX86*BY86)^2</f>
        <v>0</v>
      </c>
      <c r="CA86" s="242">
        <f t="shared" ref="CA86" si="350">IF(C86="EmisionesGEI",D86,AE86+AM86+AU86+BB86+BQ86)</f>
        <v>0</v>
      </c>
      <c r="CB86" s="453">
        <f t="shared" si="311"/>
        <v>0</v>
      </c>
      <c r="CC86" s="45">
        <f t="shared" ref="CC86" si="351">(CA86*CB86)^2</f>
        <v>0</v>
      </c>
    </row>
    <row r="87" spans="1:155">
      <c r="B87" s="559"/>
      <c r="C87" s="239"/>
      <c r="D87" s="239"/>
      <c r="E87" s="252"/>
      <c r="F87" s="241">
        <f t="shared" si="283"/>
        <v>0</v>
      </c>
      <c r="G87" s="239"/>
      <c r="H87" s="239"/>
      <c r="I87" s="239"/>
      <c r="J87" s="239"/>
      <c r="K87" s="239"/>
      <c r="L87" s="239"/>
      <c r="M87" s="239"/>
      <c r="N87" s="239"/>
      <c r="O87" s="239"/>
      <c r="P87" s="239"/>
      <c r="Q87" s="239"/>
      <c r="R87" s="239"/>
      <c r="S87" s="242">
        <f t="shared" si="284"/>
        <v>0</v>
      </c>
      <c r="T87" s="243">
        <f t="shared" si="285"/>
        <v>0</v>
      </c>
      <c r="U87" s="242">
        <f t="shared" si="286"/>
        <v>0</v>
      </c>
      <c r="V87" s="242">
        <f t="shared" si="287"/>
        <v>0</v>
      </c>
      <c r="W87" s="242">
        <f t="shared" si="288"/>
        <v>0</v>
      </c>
      <c r="X87" s="244"/>
      <c r="Y87" s="449">
        <f t="shared" si="289"/>
        <v>0</v>
      </c>
      <c r="Z87" s="250">
        <f>VLOOKUP($E87,$CD$138:$DH$504,3,FALSE)</f>
        <v>0</v>
      </c>
      <c r="AA87" s="246">
        <f>VLOOKUP($E87,$CD$138:$DH$504,4,FALSE)</f>
        <v>0</v>
      </c>
      <c r="AB87" s="450">
        <f>IF($S87&gt;0,VLOOKUP($E87,$CD$138:$DH$504,7,FALSE),0)</f>
        <v>0</v>
      </c>
      <c r="AC87" s="449">
        <f>IF($S87&gt;0,VLOOKUP($E87,$CD$138:$DH$504,6,FALSE),0)</f>
        <v>0</v>
      </c>
      <c r="AD87" s="451">
        <f t="shared" si="333"/>
        <v>0</v>
      </c>
      <c r="AE87" s="451">
        <f t="shared" si="290"/>
        <v>0</v>
      </c>
      <c r="AF87" s="449">
        <f t="shared" si="291"/>
        <v>0</v>
      </c>
      <c r="AG87" s="449">
        <f t="shared" si="292"/>
        <v>0</v>
      </c>
      <c r="AH87" s="250">
        <v>0</v>
      </c>
      <c r="AI87" s="246">
        <v>0</v>
      </c>
      <c r="AJ87" s="450">
        <v>0</v>
      </c>
      <c r="AK87" s="449">
        <v>0</v>
      </c>
      <c r="AL87" s="452">
        <f t="shared" ref="AL87:AL88" si="352">($S87*AH87)/1000</f>
        <v>0</v>
      </c>
      <c r="AM87" s="452">
        <f t="shared" si="294"/>
        <v>0</v>
      </c>
      <c r="AN87" s="449">
        <f>IF(AL87&gt;0,SQRT(($Y87*$Y87)+(AC87*AC87)),0)</f>
        <v>0</v>
      </c>
      <c r="AO87" s="451">
        <f t="shared" si="296"/>
        <v>0</v>
      </c>
      <c r="AP87" s="250">
        <v>0</v>
      </c>
      <c r="AQ87" s="246">
        <v>0</v>
      </c>
      <c r="AR87" s="450">
        <v>0</v>
      </c>
      <c r="AS87" s="449">
        <v>0</v>
      </c>
      <c r="AT87" s="452">
        <f t="shared" si="297"/>
        <v>0</v>
      </c>
      <c r="AU87" s="452">
        <f t="shared" si="298"/>
        <v>0</v>
      </c>
      <c r="AV87" s="449">
        <f t="shared" si="299"/>
        <v>0</v>
      </c>
      <c r="AW87" s="449">
        <f t="shared" si="300"/>
        <v>0</v>
      </c>
      <c r="AX87" s="248">
        <v>0</v>
      </c>
      <c r="AY87" s="246">
        <v>0</v>
      </c>
      <c r="AZ87" s="450">
        <v>0</v>
      </c>
      <c r="BA87" s="449">
        <v>0</v>
      </c>
      <c r="BB87" s="452">
        <v>0</v>
      </c>
      <c r="BC87" s="449">
        <f t="shared" si="301"/>
        <v>0</v>
      </c>
      <c r="BD87" s="451">
        <f t="shared" si="302"/>
        <v>0</v>
      </c>
      <c r="BE87" s="248">
        <v>0</v>
      </c>
      <c r="BF87" s="246">
        <v>0</v>
      </c>
      <c r="BG87" s="450">
        <v>0</v>
      </c>
      <c r="BH87" s="449">
        <v>0</v>
      </c>
      <c r="BI87" s="452">
        <v>0</v>
      </c>
      <c r="BJ87" s="449">
        <f t="shared" si="303"/>
        <v>0</v>
      </c>
      <c r="BK87" s="451">
        <f t="shared" si="304"/>
        <v>0</v>
      </c>
      <c r="BL87" s="248">
        <v>0</v>
      </c>
      <c r="BM87" s="246">
        <v>0</v>
      </c>
      <c r="BN87" s="450">
        <v>0</v>
      </c>
      <c r="BO87" s="449">
        <v>0</v>
      </c>
      <c r="BP87" s="452">
        <f t="shared" si="305"/>
        <v>0</v>
      </c>
      <c r="BQ87" s="452">
        <f t="shared" si="306"/>
        <v>0</v>
      </c>
      <c r="BR87" s="449">
        <f t="shared" si="307"/>
        <v>0</v>
      </c>
      <c r="BS87" s="451">
        <f t="shared" si="308"/>
        <v>0</v>
      </c>
      <c r="BT87" s="248">
        <v>0</v>
      </c>
      <c r="BU87" s="246">
        <v>0</v>
      </c>
      <c r="BV87" s="450">
        <v>0</v>
      </c>
      <c r="BW87" s="449">
        <v>0</v>
      </c>
      <c r="BX87" s="452">
        <v>0</v>
      </c>
      <c r="BY87" s="449">
        <v>0</v>
      </c>
      <c r="BZ87" s="451">
        <f t="shared" si="309"/>
        <v>0</v>
      </c>
      <c r="CA87" s="242">
        <f t="shared" si="310"/>
        <v>0</v>
      </c>
      <c r="CB87" s="453">
        <f t="shared" si="311"/>
        <v>0</v>
      </c>
      <c r="CC87" s="45">
        <f t="shared" si="50"/>
        <v>0</v>
      </c>
    </row>
    <row r="88" spans="1:155">
      <c r="B88" s="559"/>
      <c r="C88" s="239"/>
      <c r="D88" s="239"/>
      <c r="E88" s="252"/>
      <c r="F88" s="241">
        <f t="shared" si="283"/>
        <v>0</v>
      </c>
      <c r="G88" s="239"/>
      <c r="H88" s="239"/>
      <c r="I88" s="239"/>
      <c r="J88" s="239"/>
      <c r="K88" s="239"/>
      <c r="L88" s="239"/>
      <c r="M88" s="239"/>
      <c r="N88" s="239"/>
      <c r="O88" s="239"/>
      <c r="P88" s="239"/>
      <c r="Q88" s="239"/>
      <c r="R88" s="239"/>
      <c r="S88" s="242">
        <f t="shared" ref="S88" si="353">SUM(G88:R88)</f>
        <v>0</v>
      </c>
      <c r="T88" s="243">
        <f t="shared" ref="T88" si="354">COUNT(G88:R88)</f>
        <v>0</v>
      </c>
      <c r="U88" s="242">
        <f t="shared" ref="U88" si="355">IF(T88&gt;1,AVERAGE(G88:R88),0)</f>
        <v>0</v>
      </c>
      <c r="V88" s="242">
        <f t="shared" ref="V88" si="356">IF(T88&gt;1,STDEV(G88:R88),0)</f>
        <v>0</v>
      </c>
      <c r="W88" s="242">
        <f t="shared" si="288"/>
        <v>0</v>
      </c>
      <c r="X88" s="244"/>
      <c r="Y88" s="449">
        <f t="shared" si="289"/>
        <v>0</v>
      </c>
      <c r="Z88" s="250">
        <f>VLOOKUP($E88,$CD$138:$DH$504,8,FALSE)</f>
        <v>0</v>
      </c>
      <c r="AA88" s="246">
        <f>VLOOKUP($E88,$CD$138:$DH$504,9,FALSE)</f>
        <v>0</v>
      </c>
      <c r="AB88" s="450">
        <f>IF($S88&gt;0,VLOOKUP($E88,$CD$138:$DH$504,12,FALSE),0)</f>
        <v>0</v>
      </c>
      <c r="AC88" s="449">
        <f>IF($S88&gt;0,VLOOKUP($E88,$CD$138:$DH$504,11,FALSE),0)</f>
        <v>0</v>
      </c>
      <c r="AD88" s="451">
        <f t="shared" ref="AD88" si="357">($S88*Z88)/1000</f>
        <v>0</v>
      </c>
      <c r="AE88" s="451">
        <f t="shared" si="290"/>
        <v>0</v>
      </c>
      <c r="AF88" s="449">
        <f t="shared" ref="AF88" si="358">IF(AD88&gt;0,SQRT(($Y88*$Y88)+(AC88*AC88)),0)</f>
        <v>0</v>
      </c>
      <c r="AG88" s="449">
        <f t="shared" ref="AG88" si="359">IF(AE88&gt;0,SQRT(($Y88*$Y88)+(AD88*AD88)),0)</f>
        <v>0</v>
      </c>
      <c r="AH88" s="250">
        <f>VLOOKUP($E88,$CD$138:$DH$504,3,FALSE)</f>
        <v>0</v>
      </c>
      <c r="AI88" s="246">
        <f>VLOOKUP($E88,$CD$138:$DH$504,4,FALSE)</f>
        <v>0</v>
      </c>
      <c r="AJ88" s="450">
        <f>IF($S88&gt;0,VLOOKUP($E88,$CD$138:$DH$504,7,FALSE),0)</f>
        <v>0</v>
      </c>
      <c r="AK88" s="449">
        <f>IF($S88&gt;0,VLOOKUP($E88,$CD$138:$DH$504,6,FALSE),0)</f>
        <v>0</v>
      </c>
      <c r="AL88" s="451">
        <f t="shared" si="352"/>
        <v>0</v>
      </c>
      <c r="AM88" s="452">
        <f t="shared" si="294"/>
        <v>0</v>
      </c>
      <c r="AN88" s="449">
        <f t="shared" ref="AN88" si="360">IF(AL88&gt;0,SQRT(($Y88*$Y88)+(AK88*AK88)),0)</f>
        <v>0</v>
      </c>
      <c r="AO88" s="451">
        <f t="shared" ref="AO88" si="361">(AM88*AN88)^2</f>
        <v>0</v>
      </c>
      <c r="AP88" s="250">
        <f>VLOOKUP($E88,$CD$138:$DH$504,13,FALSE)</f>
        <v>0</v>
      </c>
      <c r="AQ88" s="246">
        <f>VLOOKUP($E88,$CD$138:$DH$504,14,FALSE)</f>
        <v>0</v>
      </c>
      <c r="AR88" s="450">
        <f>IF($S88&gt;0,VLOOKUP($E88,$CD$138:$DH$504,17,FALSE),0)</f>
        <v>0</v>
      </c>
      <c r="AS88" s="449">
        <f>IF($S88&gt;0,VLOOKUP($E88,$CD$138:$DH$504,16,FALSE),0)</f>
        <v>0</v>
      </c>
      <c r="AT88" s="452">
        <f t="shared" si="297"/>
        <v>0</v>
      </c>
      <c r="AU88" s="452">
        <f t="shared" si="298"/>
        <v>0</v>
      </c>
      <c r="AV88" s="449">
        <f t="shared" si="299"/>
        <v>0</v>
      </c>
      <c r="AW88" s="449">
        <f t="shared" ref="AW88" si="362">IF(AU88&gt;0,SQRT(($Y88*$Y88)+(AT88*AT88)),0)</f>
        <v>0</v>
      </c>
      <c r="AX88" s="248">
        <v>0</v>
      </c>
      <c r="AY88" s="246">
        <v>0</v>
      </c>
      <c r="AZ88" s="450">
        <v>0</v>
      </c>
      <c r="BA88" s="449">
        <v>0</v>
      </c>
      <c r="BB88" s="452">
        <v>0</v>
      </c>
      <c r="BC88" s="449">
        <f t="shared" ref="BC88" si="363">IF(BB88&gt;0,SQRT(($Y88*$Y88)+(BA88*BA88)),0)</f>
        <v>0</v>
      </c>
      <c r="BD88" s="451">
        <f t="shared" ref="BD88" si="364">(BB88*BC88)^2</f>
        <v>0</v>
      </c>
      <c r="BE88" s="248">
        <v>0</v>
      </c>
      <c r="BF88" s="246">
        <v>0</v>
      </c>
      <c r="BG88" s="450">
        <v>0</v>
      </c>
      <c r="BH88" s="449">
        <v>0</v>
      </c>
      <c r="BI88" s="452">
        <v>0</v>
      </c>
      <c r="BJ88" s="449">
        <f t="shared" si="303"/>
        <v>0</v>
      </c>
      <c r="BK88" s="451">
        <f t="shared" si="304"/>
        <v>0</v>
      </c>
      <c r="BL88" s="248">
        <v>0</v>
      </c>
      <c r="BM88" s="246">
        <v>0</v>
      </c>
      <c r="BN88" s="450">
        <v>0</v>
      </c>
      <c r="BO88" s="449">
        <v>0</v>
      </c>
      <c r="BP88" s="452">
        <f t="shared" ref="BP88" si="365">($S88*BL88)/1000</f>
        <v>0</v>
      </c>
      <c r="BQ88" s="452">
        <f t="shared" si="306"/>
        <v>0</v>
      </c>
      <c r="BR88" s="449">
        <f t="shared" ref="BR88" si="366">IF(BP88&gt;0,SQRT(($Y88*$Y88)+(BO88*BO88)),0)</f>
        <v>0</v>
      </c>
      <c r="BS88" s="451">
        <f t="shared" ref="BS88" si="367">(BQ88*BR88)^2</f>
        <v>0</v>
      </c>
      <c r="BT88" s="248">
        <v>0</v>
      </c>
      <c r="BU88" s="246">
        <v>0</v>
      </c>
      <c r="BV88" s="450">
        <v>0</v>
      </c>
      <c r="BW88" s="449">
        <v>0</v>
      </c>
      <c r="BX88" s="452">
        <v>0</v>
      </c>
      <c r="BY88" s="449">
        <v>0</v>
      </c>
      <c r="BZ88" s="451">
        <f t="shared" ref="BZ88" si="368">(BX88*BY88)^2</f>
        <v>0</v>
      </c>
      <c r="CA88" s="242">
        <f t="shared" ref="CA88" si="369">IF(C88="EmisionesGEI",D88,AE88+AM88+AU88+BB88+BQ88)</f>
        <v>0</v>
      </c>
      <c r="CB88" s="453">
        <f t="shared" ref="CB88" si="370">IF(CA88&gt;0,SQRT(AG88+AO88+AW88+BD88+BS88)/CA88,0)</f>
        <v>0</v>
      </c>
      <c r="CC88" s="45">
        <f t="shared" si="50"/>
        <v>0</v>
      </c>
    </row>
    <row r="89" spans="1:155">
      <c r="B89" s="559"/>
      <c r="C89" s="239"/>
      <c r="D89" s="239"/>
      <c r="E89" s="252"/>
      <c r="F89" s="241">
        <f t="shared" si="283"/>
        <v>0</v>
      </c>
      <c r="G89" s="239"/>
      <c r="H89" s="239"/>
      <c r="I89" s="239"/>
      <c r="J89" s="239"/>
      <c r="K89" s="239"/>
      <c r="L89" s="239"/>
      <c r="M89" s="239"/>
      <c r="N89" s="239"/>
      <c r="O89" s="239"/>
      <c r="P89" s="239"/>
      <c r="Q89" s="239"/>
      <c r="R89" s="239"/>
      <c r="S89" s="242">
        <f t="shared" si="284"/>
        <v>0</v>
      </c>
      <c r="T89" s="243">
        <f t="shared" si="285"/>
        <v>0</v>
      </c>
      <c r="U89" s="242">
        <f t="shared" si="286"/>
        <v>0</v>
      </c>
      <c r="V89" s="242">
        <f t="shared" si="287"/>
        <v>0</v>
      </c>
      <c r="W89" s="242">
        <f t="shared" si="288"/>
        <v>0</v>
      </c>
      <c r="X89" s="244"/>
      <c r="Y89" s="449">
        <f t="shared" si="289"/>
        <v>0</v>
      </c>
      <c r="Z89" s="250">
        <f>VLOOKUP($E89,$CD$138:$DH$504,8,FALSE)</f>
        <v>0</v>
      </c>
      <c r="AA89" s="246">
        <f>VLOOKUP($E89,$CD$138:$DH$504,9,FALSE)</f>
        <v>0</v>
      </c>
      <c r="AB89" s="450">
        <f>IF($S89&gt;0,VLOOKUP($E89,$CD$138:$DH$504,12,FALSE),0)</f>
        <v>0</v>
      </c>
      <c r="AC89" s="449">
        <f>IF($S89&gt;0,VLOOKUP($E89,$CD$138:$DH$504,11,FALSE),0)</f>
        <v>0</v>
      </c>
      <c r="AD89" s="451">
        <f t="shared" si="333"/>
        <v>0</v>
      </c>
      <c r="AE89" s="451">
        <f t="shared" si="290"/>
        <v>0</v>
      </c>
      <c r="AF89" s="449">
        <f t="shared" si="291"/>
        <v>0</v>
      </c>
      <c r="AG89" s="449">
        <f t="shared" si="292"/>
        <v>0</v>
      </c>
      <c r="AH89" s="250">
        <f>VLOOKUP($E89,$CD$138:$DH$504,3,FALSE)</f>
        <v>0</v>
      </c>
      <c r="AI89" s="246">
        <f>VLOOKUP($E89,$CD$138:$DH$504,4,FALSE)</f>
        <v>0</v>
      </c>
      <c r="AJ89" s="450">
        <f>IF($S89&gt;0,VLOOKUP($E89,$CD$138:$DH$504,7,FALSE),0)</f>
        <v>0</v>
      </c>
      <c r="AK89" s="449">
        <f>IF($S89&gt;0,VLOOKUP($E89,$CD$138:$DH$504,6,FALSE),0)</f>
        <v>0</v>
      </c>
      <c r="AL89" s="451">
        <f t="shared" ref="AL89:AL90" si="371">($S89*AH89)/1000</f>
        <v>0</v>
      </c>
      <c r="AM89" s="452">
        <f t="shared" si="294"/>
        <v>0</v>
      </c>
      <c r="AN89" s="449">
        <f t="shared" ref="AN89:AN90" si="372">IF(AL89&gt;0,SQRT(($Y89*$Y89)+(AK89*AK89)),0)</f>
        <v>0</v>
      </c>
      <c r="AO89" s="451">
        <f t="shared" si="296"/>
        <v>0</v>
      </c>
      <c r="AP89" s="250">
        <f>VLOOKUP($E89,$CD$138:$DH$504,13,FALSE)</f>
        <v>0</v>
      </c>
      <c r="AQ89" s="246">
        <f>VLOOKUP($E89,$CD$138:$DH$504,14,FALSE)</f>
        <v>0</v>
      </c>
      <c r="AR89" s="450">
        <f>IF($S89&gt;0,VLOOKUP($E89,$CD$138:$DH$504,17,FALSE),0)</f>
        <v>0</v>
      </c>
      <c r="AS89" s="449">
        <f>IF($S89&gt;0,VLOOKUP($E89,$CD$138:$DH$504,16,FALSE),0)</f>
        <v>0</v>
      </c>
      <c r="AT89" s="452">
        <f t="shared" si="297"/>
        <v>0</v>
      </c>
      <c r="AU89" s="452">
        <f t="shared" si="298"/>
        <v>0</v>
      </c>
      <c r="AV89" s="449">
        <f t="shared" ref="AV89:AV91" si="373">IF(AT89&gt;0,SQRT(($Y89*$Y89)+(AS89*AS89)),0)</f>
        <v>0</v>
      </c>
      <c r="AW89" s="449">
        <f t="shared" si="300"/>
        <v>0</v>
      </c>
      <c r="AX89" s="248">
        <v>0</v>
      </c>
      <c r="AY89" s="246">
        <v>0</v>
      </c>
      <c r="AZ89" s="450">
        <v>0</v>
      </c>
      <c r="BA89" s="449">
        <v>0</v>
      </c>
      <c r="BB89" s="452">
        <v>0</v>
      </c>
      <c r="BC89" s="449">
        <f t="shared" si="301"/>
        <v>0</v>
      </c>
      <c r="BD89" s="451">
        <f t="shared" si="302"/>
        <v>0</v>
      </c>
      <c r="BE89" s="248">
        <v>0</v>
      </c>
      <c r="BF89" s="246">
        <v>0</v>
      </c>
      <c r="BG89" s="450">
        <v>0</v>
      </c>
      <c r="BH89" s="449">
        <v>0</v>
      </c>
      <c r="BI89" s="452">
        <v>0</v>
      </c>
      <c r="BJ89" s="449">
        <f t="shared" si="303"/>
        <v>0</v>
      </c>
      <c r="BK89" s="451">
        <f t="shared" si="304"/>
        <v>0</v>
      </c>
      <c r="BL89" s="248">
        <v>0</v>
      </c>
      <c r="BM89" s="246">
        <v>0</v>
      </c>
      <c r="BN89" s="450">
        <v>0</v>
      </c>
      <c r="BO89" s="449">
        <v>0</v>
      </c>
      <c r="BP89" s="452">
        <f t="shared" si="305"/>
        <v>0</v>
      </c>
      <c r="BQ89" s="452">
        <f t="shared" si="306"/>
        <v>0</v>
      </c>
      <c r="BR89" s="449">
        <f t="shared" si="307"/>
        <v>0</v>
      </c>
      <c r="BS89" s="451">
        <f t="shared" si="308"/>
        <v>0</v>
      </c>
      <c r="BT89" s="248">
        <v>0</v>
      </c>
      <c r="BU89" s="246">
        <v>0</v>
      </c>
      <c r="BV89" s="450">
        <v>0</v>
      </c>
      <c r="BW89" s="449">
        <v>0</v>
      </c>
      <c r="BX89" s="452">
        <v>0</v>
      </c>
      <c r="BY89" s="449">
        <v>0</v>
      </c>
      <c r="BZ89" s="451">
        <f t="shared" si="309"/>
        <v>0</v>
      </c>
      <c r="CA89" s="242">
        <f t="shared" si="310"/>
        <v>0</v>
      </c>
      <c r="CB89" s="453">
        <f t="shared" si="311"/>
        <v>0</v>
      </c>
      <c r="CC89" s="45">
        <f t="shared" si="50"/>
        <v>0</v>
      </c>
    </row>
    <row r="90" spans="1:155">
      <c r="B90" s="559"/>
      <c r="C90" s="239"/>
      <c r="D90" s="239"/>
      <c r="E90" s="252"/>
      <c r="F90" s="241">
        <f t="shared" si="283"/>
        <v>0</v>
      </c>
      <c r="G90" s="239"/>
      <c r="H90" s="239"/>
      <c r="I90" s="239"/>
      <c r="J90" s="239"/>
      <c r="K90" s="239"/>
      <c r="L90" s="239"/>
      <c r="M90" s="239"/>
      <c r="N90" s="239"/>
      <c r="O90" s="239"/>
      <c r="P90" s="239"/>
      <c r="Q90" s="239"/>
      <c r="R90" s="239"/>
      <c r="S90" s="242">
        <f t="shared" ref="S90" si="374">SUM(G90:R90)</f>
        <v>0</v>
      </c>
      <c r="T90" s="243">
        <f t="shared" ref="T90" si="375">COUNT(G90:R90)</f>
        <v>0</v>
      </c>
      <c r="U90" s="242">
        <f t="shared" ref="U90" si="376">IF(T90&gt;1,AVERAGE(G90:R90),0)</f>
        <v>0</v>
      </c>
      <c r="V90" s="242">
        <f t="shared" ref="V90" si="377">IF(T90&gt;1,STDEV(G90:R90),0)</f>
        <v>0</v>
      </c>
      <c r="W90" s="242">
        <f t="shared" si="288"/>
        <v>0</v>
      </c>
      <c r="X90" s="244"/>
      <c r="Y90" s="449">
        <f t="shared" si="289"/>
        <v>0</v>
      </c>
      <c r="Z90" s="245">
        <v>0</v>
      </c>
      <c r="AA90" s="246">
        <v>0</v>
      </c>
      <c r="AB90" s="450">
        <v>0</v>
      </c>
      <c r="AC90" s="449">
        <v>0</v>
      </c>
      <c r="AD90" s="451">
        <f t="shared" si="333"/>
        <v>0</v>
      </c>
      <c r="AE90" s="451">
        <f t="shared" si="290"/>
        <v>0</v>
      </c>
      <c r="AF90" s="449">
        <f t="shared" si="291"/>
        <v>0</v>
      </c>
      <c r="AG90" s="449">
        <f t="shared" ref="AG90" si="378">IF(AE90&gt;0,SQRT(($Y90*$Y90)+(AD90*AD90)),0)</f>
        <v>0</v>
      </c>
      <c r="AH90" s="250">
        <v>0</v>
      </c>
      <c r="AI90" s="246">
        <v>0</v>
      </c>
      <c r="AJ90" s="450">
        <v>0</v>
      </c>
      <c r="AK90" s="449">
        <v>0</v>
      </c>
      <c r="AL90" s="452">
        <f t="shared" si="371"/>
        <v>0</v>
      </c>
      <c r="AM90" s="452">
        <f t="shared" si="294"/>
        <v>0</v>
      </c>
      <c r="AN90" s="449">
        <f t="shared" si="372"/>
        <v>0</v>
      </c>
      <c r="AO90" s="451">
        <f t="shared" ref="AO90" si="379">(AM90*AN90)^2</f>
        <v>0</v>
      </c>
      <c r="AP90" s="248">
        <f>VLOOKUP($E90,$CD$138:$DH$504,3,FALSE)</f>
        <v>0</v>
      </c>
      <c r="AQ90" s="246">
        <f>VLOOKUP($E90,$CD$138:$DH$504,4,FALSE)</f>
        <v>0</v>
      </c>
      <c r="AR90" s="450">
        <f>IF($S90&gt;0,VLOOKUP($E90,$CD$138:$DH$504,7,FALSE),0)</f>
        <v>0</v>
      </c>
      <c r="AS90" s="449">
        <f>IF($S90&gt;0,VLOOKUP($E90,$CD$138:$DH$504,6,FALSE),0)</f>
        <v>0</v>
      </c>
      <c r="AT90" s="452">
        <f t="shared" si="297"/>
        <v>0</v>
      </c>
      <c r="AU90" s="452">
        <f t="shared" si="298"/>
        <v>0</v>
      </c>
      <c r="AV90" s="449">
        <f t="shared" ref="AV90" si="380">IF(AT90&gt;0,SQRT(($Y90*$Y90)+(AS90*AS90)),0)</f>
        <v>0</v>
      </c>
      <c r="AW90" s="449">
        <f t="shared" ref="AW90" si="381">IF(AU90&gt;0,SQRT(($Y90*$Y90)+(AT90*AT90)),0)</f>
        <v>0</v>
      </c>
      <c r="AX90" s="248">
        <v>0</v>
      </c>
      <c r="AY90" s="246">
        <v>0</v>
      </c>
      <c r="AZ90" s="450">
        <v>0</v>
      </c>
      <c r="BA90" s="449">
        <v>0</v>
      </c>
      <c r="BB90" s="452">
        <v>0</v>
      </c>
      <c r="BC90" s="449">
        <f t="shared" ref="BC90" si="382">IF(BB90&gt;0,SQRT(($Y90*$Y90)+(BA90*BA90)),0)</f>
        <v>0</v>
      </c>
      <c r="BD90" s="451">
        <f t="shared" ref="BD90" si="383">(BB90*BC90)^2</f>
        <v>0</v>
      </c>
      <c r="BE90" s="248">
        <v>0</v>
      </c>
      <c r="BF90" s="246">
        <v>0</v>
      </c>
      <c r="BG90" s="450">
        <v>0</v>
      </c>
      <c r="BH90" s="449">
        <v>0</v>
      </c>
      <c r="BI90" s="452">
        <v>0</v>
      </c>
      <c r="BJ90" s="449">
        <f t="shared" si="303"/>
        <v>0</v>
      </c>
      <c r="BK90" s="451">
        <f t="shared" si="304"/>
        <v>0</v>
      </c>
      <c r="BL90" s="248">
        <v>0</v>
      </c>
      <c r="BM90" s="246">
        <v>0</v>
      </c>
      <c r="BN90" s="450">
        <v>0</v>
      </c>
      <c r="BO90" s="449">
        <v>0</v>
      </c>
      <c r="BP90" s="452">
        <f t="shared" ref="BP90" si="384">($S90*BL90)/1000</f>
        <v>0</v>
      </c>
      <c r="BQ90" s="452">
        <f t="shared" si="306"/>
        <v>0</v>
      </c>
      <c r="BR90" s="449">
        <f t="shared" ref="BR90" si="385">IF(BP90&gt;0,SQRT(($Y90*$Y90)+(BO90*BO90)),0)</f>
        <v>0</v>
      </c>
      <c r="BS90" s="451">
        <f t="shared" ref="BS90" si="386">(BQ90*BR90)^2</f>
        <v>0</v>
      </c>
      <c r="BT90" s="248">
        <v>0</v>
      </c>
      <c r="BU90" s="246">
        <v>0</v>
      </c>
      <c r="BV90" s="450">
        <v>0</v>
      </c>
      <c r="BW90" s="449">
        <v>0</v>
      </c>
      <c r="BX90" s="452">
        <v>0</v>
      </c>
      <c r="BY90" s="449">
        <v>0</v>
      </c>
      <c r="BZ90" s="451">
        <f t="shared" ref="BZ90" si="387">(BX90*BY90)^2</f>
        <v>0</v>
      </c>
      <c r="CA90" s="242">
        <f t="shared" ref="CA90" si="388">IF(C90="EmisionesGEI",D90,AE90+AM90+AU90+BB90+BQ90)</f>
        <v>0</v>
      </c>
      <c r="CB90" s="453">
        <f t="shared" ref="CB90" si="389">IF(CA90&gt;0,SQRT(AG90+AO90+AW90+BD90+BS90)/CA90,0)</f>
        <v>0</v>
      </c>
      <c r="CC90" s="45">
        <f t="shared" ref="CC90" si="390">(CA90*CB90)^2</f>
        <v>0</v>
      </c>
    </row>
    <row r="91" spans="1:155">
      <c r="B91" s="558"/>
      <c r="C91" s="239"/>
      <c r="D91" s="239"/>
      <c r="E91" s="252"/>
      <c r="F91" s="241">
        <f t="shared" si="283"/>
        <v>0</v>
      </c>
      <c r="G91" s="239"/>
      <c r="H91" s="239"/>
      <c r="I91" s="239"/>
      <c r="J91" s="239"/>
      <c r="K91" s="239"/>
      <c r="L91" s="239"/>
      <c r="M91" s="239"/>
      <c r="N91" s="239"/>
      <c r="O91" s="239"/>
      <c r="P91" s="239"/>
      <c r="Q91" s="239"/>
      <c r="R91" s="239"/>
      <c r="S91" s="242">
        <f t="shared" si="284"/>
        <v>0</v>
      </c>
      <c r="T91" s="243">
        <f t="shared" si="285"/>
        <v>0</v>
      </c>
      <c r="U91" s="242">
        <f t="shared" si="286"/>
        <v>0</v>
      </c>
      <c r="V91" s="242">
        <f t="shared" si="287"/>
        <v>0</v>
      </c>
      <c r="W91" s="242">
        <f t="shared" si="288"/>
        <v>0</v>
      </c>
      <c r="X91" s="244"/>
      <c r="Y91" s="449">
        <f t="shared" si="289"/>
        <v>0</v>
      </c>
      <c r="Z91" s="245">
        <v>0</v>
      </c>
      <c r="AA91" s="246">
        <v>0</v>
      </c>
      <c r="AB91" s="450">
        <v>0</v>
      </c>
      <c r="AC91" s="449">
        <v>0</v>
      </c>
      <c r="AD91" s="451">
        <f t="shared" ref="AD91" si="391">($S91*Z91)/1000</f>
        <v>0</v>
      </c>
      <c r="AE91" s="451">
        <f t="shared" si="290"/>
        <v>0</v>
      </c>
      <c r="AF91" s="449">
        <f t="shared" si="291"/>
        <v>0</v>
      </c>
      <c r="AG91" s="449">
        <f t="shared" si="292"/>
        <v>0</v>
      </c>
      <c r="AH91" s="250">
        <v>0</v>
      </c>
      <c r="AI91" s="246">
        <v>0</v>
      </c>
      <c r="AJ91" s="450">
        <v>0</v>
      </c>
      <c r="AK91" s="449">
        <v>0</v>
      </c>
      <c r="AL91" s="452">
        <f t="shared" si="293"/>
        <v>0</v>
      </c>
      <c r="AM91" s="452">
        <f t="shared" si="294"/>
        <v>0</v>
      </c>
      <c r="AN91" s="449">
        <f t="shared" si="295"/>
        <v>0</v>
      </c>
      <c r="AO91" s="451">
        <f t="shared" si="296"/>
        <v>0</v>
      </c>
      <c r="AP91" s="248">
        <f>VLOOKUP($E91,$CD$138:$DH$504,3,FALSE)</f>
        <v>0</v>
      </c>
      <c r="AQ91" s="246">
        <f>VLOOKUP($E91,$CD$138:$DH$504,4,FALSE)</f>
        <v>0</v>
      </c>
      <c r="AR91" s="450">
        <f>IF($S91&gt;0,VLOOKUP($E91,$CD$138:$DH$504,7,FALSE),0)</f>
        <v>0</v>
      </c>
      <c r="AS91" s="449">
        <f>IF($S91&gt;0,VLOOKUP($E91,$CD$138:$DH$504,6,FALSE),0)</f>
        <v>0</v>
      </c>
      <c r="AT91" s="452">
        <f t="shared" si="297"/>
        <v>0</v>
      </c>
      <c r="AU91" s="452">
        <f t="shared" si="298"/>
        <v>0</v>
      </c>
      <c r="AV91" s="449">
        <f t="shared" si="373"/>
        <v>0</v>
      </c>
      <c r="AW91" s="449">
        <f t="shared" si="300"/>
        <v>0</v>
      </c>
      <c r="AX91" s="248">
        <v>0</v>
      </c>
      <c r="AY91" s="246">
        <v>0</v>
      </c>
      <c r="AZ91" s="450">
        <v>0</v>
      </c>
      <c r="BA91" s="449">
        <v>0</v>
      </c>
      <c r="BB91" s="452">
        <v>0</v>
      </c>
      <c r="BC91" s="449">
        <f t="shared" si="301"/>
        <v>0</v>
      </c>
      <c r="BD91" s="451">
        <f t="shared" si="302"/>
        <v>0</v>
      </c>
      <c r="BE91" s="248">
        <v>0</v>
      </c>
      <c r="BF91" s="246">
        <v>0</v>
      </c>
      <c r="BG91" s="450">
        <v>0</v>
      </c>
      <c r="BH91" s="449">
        <v>0</v>
      </c>
      <c r="BI91" s="452">
        <v>0</v>
      </c>
      <c r="BJ91" s="449">
        <f t="shared" si="303"/>
        <v>0</v>
      </c>
      <c r="BK91" s="451">
        <f t="shared" si="304"/>
        <v>0</v>
      </c>
      <c r="BL91" s="248">
        <v>0</v>
      </c>
      <c r="BM91" s="246">
        <v>0</v>
      </c>
      <c r="BN91" s="450">
        <v>0</v>
      </c>
      <c r="BO91" s="449">
        <v>0</v>
      </c>
      <c r="BP91" s="452">
        <f t="shared" si="305"/>
        <v>0</v>
      </c>
      <c r="BQ91" s="452">
        <f t="shared" si="306"/>
        <v>0</v>
      </c>
      <c r="BR91" s="449">
        <f t="shared" si="307"/>
        <v>0</v>
      </c>
      <c r="BS91" s="451">
        <f t="shared" si="308"/>
        <v>0</v>
      </c>
      <c r="BT91" s="248">
        <v>0</v>
      </c>
      <c r="BU91" s="246">
        <v>0</v>
      </c>
      <c r="BV91" s="450">
        <v>0</v>
      </c>
      <c r="BW91" s="449">
        <v>0</v>
      </c>
      <c r="BX91" s="452">
        <v>0</v>
      </c>
      <c r="BY91" s="449">
        <v>0</v>
      </c>
      <c r="BZ91" s="451">
        <f t="shared" si="309"/>
        <v>0</v>
      </c>
      <c r="CA91" s="242">
        <f t="shared" si="310"/>
        <v>0</v>
      </c>
      <c r="CB91" s="453">
        <f t="shared" si="311"/>
        <v>0</v>
      </c>
      <c r="CC91" s="45">
        <f t="shared" si="50"/>
        <v>0</v>
      </c>
    </row>
    <row r="92" spans="1:155">
      <c r="B92" s="557" t="s">
        <v>266</v>
      </c>
      <c r="C92" s="239"/>
      <c r="D92" s="239"/>
      <c r="E92" s="240"/>
      <c r="F92" s="241">
        <f t="shared" si="283"/>
        <v>0</v>
      </c>
      <c r="G92" s="239"/>
      <c r="H92" s="239"/>
      <c r="I92" s="239"/>
      <c r="J92" s="239"/>
      <c r="K92" s="239"/>
      <c r="L92" s="239"/>
      <c r="M92" s="239"/>
      <c r="N92" s="239"/>
      <c r="O92" s="239"/>
      <c r="P92" s="239"/>
      <c r="Q92" s="239"/>
      <c r="R92" s="239"/>
      <c r="S92" s="242">
        <f t="shared" ref="S92:S101" si="392">SUM(G92:R92)</f>
        <v>0</v>
      </c>
      <c r="T92" s="243">
        <f t="shared" ref="T92:T101" si="393">COUNT(G92:R92)</f>
        <v>0</v>
      </c>
      <c r="U92" s="242">
        <f t="shared" ref="U92:U101" si="394">IF(T92&gt;1,AVERAGE(G92:R92),0)</f>
        <v>0</v>
      </c>
      <c r="V92" s="242">
        <f t="shared" ref="V92:V101" si="395">IF(T92&gt;1,STDEV(G92:R92),0)</f>
        <v>0</v>
      </c>
      <c r="W92" s="242">
        <f t="shared" si="288"/>
        <v>0</v>
      </c>
      <c r="X92" s="244"/>
      <c r="Y92" s="449">
        <f t="shared" si="289"/>
        <v>0</v>
      </c>
      <c r="Z92" s="248">
        <v>0</v>
      </c>
      <c r="AA92" s="246">
        <v>0</v>
      </c>
      <c r="AB92" s="450">
        <v>0</v>
      </c>
      <c r="AC92" s="449">
        <v>0</v>
      </c>
      <c r="AD92" s="451">
        <f t="shared" si="333"/>
        <v>0</v>
      </c>
      <c r="AE92" s="451">
        <f t="shared" si="290"/>
        <v>0</v>
      </c>
      <c r="AF92" s="449">
        <f t="shared" si="291"/>
        <v>0</v>
      </c>
      <c r="AG92" s="449">
        <f t="shared" si="292"/>
        <v>0</v>
      </c>
      <c r="AH92" s="250">
        <f t="shared" ref="AH92:AH101" si="396">IF(T92&gt;0,VLOOKUP($E92,$CD$138:$DH$504,3,FALSE)/T92,0)</f>
        <v>0</v>
      </c>
      <c r="AI92" s="246">
        <f t="shared" ref="AI92:AI104" si="397">VLOOKUP($E92,$CD$138:$DH$504,4,FALSE)</f>
        <v>0</v>
      </c>
      <c r="AJ92" s="450">
        <f t="shared" ref="AJ92:AJ104" si="398">IF($S92&gt;0,VLOOKUP($E92,$CD$138:$DH$504,7,FALSE),0)</f>
        <v>0</v>
      </c>
      <c r="AK92" s="449">
        <f t="shared" ref="AK92:AK104" si="399">IF($S92&gt;0,VLOOKUP($E92,$CD$138:$DH$504,6,FALSE),0)</f>
        <v>0</v>
      </c>
      <c r="AL92" s="451">
        <f t="shared" ref="AL92:AL101" si="400">($S92*AH92)/1000</f>
        <v>0</v>
      </c>
      <c r="AM92" s="452">
        <f t="shared" si="294"/>
        <v>0</v>
      </c>
      <c r="AN92" s="449">
        <f t="shared" si="295"/>
        <v>0</v>
      </c>
      <c r="AO92" s="451">
        <f t="shared" ref="AO92:AO101" si="401">(AM92*AN92)^2</f>
        <v>0</v>
      </c>
      <c r="AP92" s="250">
        <v>0</v>
      </c>
      <c r="AQ92" s="246">
        <v>0</v>
      </c>
      <c r="AR92" s="450">
        <v>0</v>
      </c>
      <c r="AS92" s="449">
        <v>0</v>
      </c>
      <c r="AT92" s="452">
        <f t="shared" si="297"/>
        <v>0</v>
      </c>
      <c r="AU92" s="452">
        <f t="shared" si="298"/>
        <v>0</v>
      </c>
      <c r="AV92" s="449">
        <f t="shared" si="299"/>
        <v>0</v>
      </c>
      <c r="AW92" s="449">
        <f t="shared" si="300"/>
        <v>0</v>
      </c>
      <c r="AX92" s="248">
        <v>0</v>
      </c>
      <c r="AY92" s="246">
        <v>0</v>
      </c>
      <c r="AZ92" s="450">
        <v>0</v>
      </c>
      <c r="BA92" s="449">
        <v>0</v>
      </c>
      <c r="BB92" s="452">
        <v>0</v>
      </c>
      <c r="BC92" s="449">
        <f t="shared" si="301"/>
        <v>0</v>
      </c>
      <c r="BD92" s="451">
        <f t="shared" ref="BD92:BD101" si="402">(BB92*BC92)^2</f>
        <v>0</v>
      </c>
      <c r="BE92" s="248">
        <v>0</v>
      </c>
      <c r="BF92" s="246">
        <v>0</v>
      </c>
      <c r="BG92" s="450">
        <v>0</v>
      </c>
      <c r="BH92" s="449">
        <v>0</v>
      </c>
      <c r="BI92" s="452">
        <v>0</v>
      </c>
      <c r="BJ92" s="449">
        <f t="shared" si="303"/>
        <v>0</v>
      </c>
      <c r="BK92" s="451">
        <f t="shared" si="304"/>
        <v>0</v>
      </c>
      <c r="BL92" s="248">
        <v>0</v>
      </c>
      <c r="BM92" s="246">
        <v>0</v>
      </c>
      <c r="BN92" s="450">
        <v>0</v>
      </c>
      <c r="BO92" s="449">
        <v>0</v>
      </c>
      <c r="BP92" s="452">
        <f t="shared" ref="BP92:BP101" si="403">($S92*BL92)/1000</f>
        <v>0</v>
      </c>
      <c r="BQ92" s="452">
        <f t="shared" si="306"/>
        <v>0</v>
      </c>
      <c r="BR92" s="449">
        <f t="shared" si="307"/>
        <v>0</v>
      </c>
      <c r="BS92" s="451">
        <f t="shared" ref="BS92:BS101" si="404">(BQ92*BR92)^2</f>
        <v>0</v>
      </c>
      <c r="BT92" s="248">
        <v>0</v>
      </c>
      <c r="BU92" s="246">
        <v>0</v>
      </c>
      <c r="BV92" s="450">
        <v>0</v>
      </c>
      <c r="BW92" s="449">
        <v>0</v>
      </c>
      <c r="BX92" s="452">
        <v>0</v>
      </c>
      <c r="BY92" s="449">
        <v>0</v>
      </c>
      <c r="BZ92" s="451">
        <f t="shared" si="309"/>
        <v>0</v>
      </c>
      <c r="CA92" s="242">
        <f t="shared" si="310"/>
        <v>0</v>
      </c>
      <c r="CB92" s="453">
        <f t="shared" si="311"/>
        <v>0</v>
      </c>
      <c r="CC92" s="45">
        <f t="shared" si="50"/>
        <v>0</v>
      </c>
    </row>
    <row r="93" spans="1:155">
      <c r="B93" s="559"/>
      <c r="C93" s="239"/>
      <c r="D93" s="239"/>
      <c r="E93" s="240"/>
      <c r="F93" s="241">
        <f t="shared" si="283"/>
        <v>0</v>
      </c>
      <c r="G93" s="239"/>
      <c r="H93" s="239"/>
      <c r="I93" s="239"/>
      <c r="J93" s="239"/>
      <c r="K93" s="239"/>
      <c r="L93" s="239"/>
      <c r="M93" s="239"/>
      <c r="N93" s="239"/>
      <c r="O93" s="239"/>
      <c r="P93" s="239"/>
      <c r="Q93" s="239"/>
      <c r="R93" s="239"/>
      <c r="S93" s="242">
        <f t="shared" ref="S93:S94" si="405">SUM(G93:R93)</f>
        <v>0</v>
      </c>
      <c r="T93" s="243">
        <f t="shared" ref="T93:T94" si="406">COUNT(G93:R93)</f>
        <v>0</v>
      </c>
      <c r="U93" s="242">
        <f t="shared" ref="U93:U94" si="407">IF(T93&gt;1,AVERAGE(G93:R93),0)</f>
        <v>0</v>
      </c>
      <c r="V93" s="242">
        <f t="shared" ref="V93:V94" si="408">IF(T93&gt;1,STDEV(G93:R93),0)</f>
        <v>0</v>
      </c>
      <c r="W93" s="242">
        <f t="shared" si="288"/>
        <v>0</v>
      </c>
      <c r="X93" s="244"/>
      <c r="Y93" s="449">
        <f t="shared" si="289"/>
        <v>0</v>
      </c>
      <c r="Z93" s="248">
        <v>0</v>
      </c>
      <c r="AA93" s="246">
        <v>0</v>
      </c>
      <c r="AB93" s="450">
        <v>0</v>
      </c>
      <c r="AC93" s="449">
        <v>0</v>
      </c>
      <c r="AD93" s="451">
        <f t="shared" ref="AD93:AD94" si="409">($S93*Z93)/1000</f>
        <v>0</v>
      </c>
      <c r="AE93" s="451">
        <f t="shared" si="290"/>
        <v>0</v>
      </c>
      <c r="AF93" s="449">
        <f t="shared" ref="AF93:AF94" si="410">IF(AD93&gt;0,SQRT(($Y93*$Y93)+(AC93*AC93)),0)</f>
        <v>0</v>
      </c>
      <c r="AG93" s="449">
        <f t="shared" ref="AG93:AG94" si="411">IF(AE93&gt;0,SQRT(($Y93*$Y93)+(AD93*AD93)),0)</f>
        <v>0</v>
      </c>
      <c r="AH93" s="250">
        <f t="shared" si="396"/>
        <v>0</v>
      </c>
      <c r="AI93" s="246">
        <f t="shared" si="397"/>
        <v>0</v>
      </c>
      <c r="AJ93" s="450">
        <f t="shared" si="398"/>
        <v>0</v>
      </c>
      <c r="AK93" s="449">
        <f t="shared" si="399"/>
        <v>0</v>
      </c>
      <c r="AL93" s="451">
        <f t="shared" ref="AL93:AL94" si="412">($S93*AH93)/1000</f>
        <v>0</v>
      </c>
      <c r="AM93" s="452">
        <f t="shared" si="294"/>
        <v>0</v>
      </c>
      <c r="AN93" s="449">
        <f t="shared" ref="AN93:AN94" si="413">IF(AL93&gt;0,SQRT(($Y93*$Y93)+(AK93*AK93)),0)</f>
        <v>0</v>
      </c>
      <c r="AO93" s="451">
        <f t="shared" ref="AO93:AO94" si="414">(AM93*AN93)^2</f>
        <v>0</v>
      </c>
      <c r="AP93" s="250">
        <v>0</v>
      </c>
      <c r="AQ93" s="246">
        <v>0</v>
      </c>
      <c r="AR93" s="450">
        <v>0</v>
      </c>
      <c r="AS93" s="449">
        <v>0</v>
      </c>
      <c r="AT93" s="452">
        <f t="shared" si="297"/>
        <v>0</v>
      </c>
      <c r="AU93" s="452">
        <f t="shared" si="298"/>
        <v>0</v>
      </c>
      <c r="AV93" s="449">
        <f t="shared" ref="AV93:AV94" si="415">IF(AT93&gt;0,SQRT(($Y93*$Y93)+(AS93*AS93)),0)</f>
        <v>0</v>
      </c>
      <c r="AW93" s="449">
        <f t="shared" ref="AW93:AW94" si="416">IF(AU93&gt;0,SQRT(($Y93*$Y93)+(AT93*AT93)),0)</f>
        <v>0</v>
      </c>
      <c r="AX93" s="248">
        <v>0</v>
      </c>
      <c r="AY93" s="246">
        <v>0</v>
      </c>
      <c r="AZ93" s="450">
        <v>0</v>
      </c>
      <c r="BA93" s="449">
        <v>0</v>
      </c>
      <c r="BB93" s="452">
        <v>0</v>
      </c>
      <c r="BC93" s="449">
        <f t="shared" ref="BC93:BC94" si="417">IF(BB93&gt;0,SQRT(($Y93*$Y93)+(BA93*BA93)),0)</f>
        <v>0</v>
      </c>
      <c r="BD93" s="451">
        <f t="shared" ref="BD93:BD94" si="418">(BB93*BC93)^2</f>
        <v>0</v>
      </c>
      <c r="BE93" s="248">
        <v>0</v>
      </c>
      <c r="BF93" s="246">
        <v>0</v>
      </c>
      <c r="BG93" s="450">
        <v>0</v>
      </c>
      <c r="BH93" s="449">
        <v>0</v>
      </c>
      <c r="BI93" s="452">
        <v>0</v>
      </c>
      <c r="BJ93" s="449">
        <f t="shared" si="303"/>
        <v>0</v>
      </c>
      <c r="BK93" s="451">
        <f t="shared" si="304"/>
        <v>0</v>
      </c>
      <c r="BL93" s="248">
        <v>0</v>
      </c>
      <c r="BM93" s="246">
        <v>0</v>
      </c>
      <c r="BN93" s="450">
        <v>0</v>
      </c>
      <c r="BO93" s="449">
        <v>0</v>
      </c>
      <c r="BP93" s="452">
        <f t="shared" ref="BP93:BP94" si="419">($S93*BL93)/1000</f>
        <v>0</v>
      </c>
      <c r="BQ93" s="452">
        <f t="shared" si="306"/>
        <v>0</v>
      </c>
      <c r="BR93" s="449">
        <f t="shared" ref="BR93:BR94" si="420">IF(BP93&gt;0,SQRT(($Y93*$Y93)+(BO93*BO93)),0)</f>
        <v>0</v>
      </c>
      <c r="BS93" s="451">
        <f t="shared" ref="BS93:BS94" si="421">(BQ93*BR93)^2</f>
        <v>0</v>
      </c>
      <c r="BT93" s="248">
        <v>0</v>
      </c>
      <c r="BU93" s="246">
        <v>0</v>
      </c>
      <c r="BV93" s="450">
        <v>0</v>
      </c>
      <c r="BW93" s="449">
        <v>0</v>
      </c>
      <c r="BX93" s="452">
        <v>0</v>
      </c>
      <c r="BY93" s="449">
        <v>0</v>
      </c>
      <c r="BZ93" s="451">
        <f t="shared" ref="BZ93:BZ94" si="422">(BX93*BY93)^2</f>
        <v>0</v>
      </c>
      <c r="CA93" s="242">
        <f t="shared" ref="CA93:CA94" si="423">IF(C93="EmisionesGEI",D93,AE93+AM93+AU93+BB93+BQ93)</f>
        <v>0</v>
      </c>
      <c r="CB93" s="453">
        <f t="shared" ref="CB93:CB94" si="424">IF(CA93&gt;0,SQRT(AG93+AO93+AW93+BD93+BS93)/CA93,0)</f>
        <v>0</v>
      </c>
      <c r="CC93" s="45">
        <f t="shared" ref="CC93:CC94" si="425">(CA93*CB93)^2</f>
        <v>0</v>
      </c>
    </row>
    <row r="94" spans="1:155">
      <c r="B94" s="559"/>
      <c r="C94" s="239"/>
      <c r="D94" s="239"/>
      <c r="E94" s="240"/>
      <c r="F94" s="241">
        <f t="shared" si="283"/>
        <v>0</v>
      </c>
      <c r="G94" s="239"/>
      <c r="H94" s="239"/>
      <c r="I94" s="239"/>
      <c r="J94" s="239"/>
      <c r="K94" s="239"/>
      <c r="L94" s="239"/>
      <c r="M94" s="239"/>
      <c r="N94" s="239"/>
      <c r="O94" s="239"/>
      <c r="P94" s="239"/>
      <c r="Q94" s="239"/>
      <c r="R94" s="239"/>
      <c r="S94" s="242">
        <f t="shared" si="405"/>
        <v>0</v>
      </c>
      <c r="T94" s="243">
        <f t="shared" si="406"/>
        <v>0</v>
      </c>
      <c r="U94" s="242">
        <f t="shared" si="407"/>
        <v>0</v>
      </c>
      <c r="V94" s="242">
        <f t="shared" si="408"/>
        <v>0</v>
      </c>
      <c r="W94" s="242">
        <f t="shared" si="288"/>
        <v>0</v>
      </c>
      <c r="X94" s="244"/>
      <c r="Y94" s="449">
        <f t="shared" si="289"/>
        <v>0</v>
      </c>
      <c r="Z94" s="248">
        <v>0</v>
      </c>
      <c r="AA94" s="246">
        <v>0</v>
      </c>
      <c r="AB94" s="450">
        <v>0</v>
      </c>
      <c r="AC94" s="449">
        <v>0</v>
      </c>
      <c r="AD94" s="451">
        <f t="shared" si="409"/>
        <v>0</v>
      </c>
      <c r="AE94" s="451">
        <f t="shared" si="290"/>
        <v>0</v>
      </c>
      <c r="AF94" s="449">
        <f t="shared" si="410"/>
        <v>0</v>
      </c>
      <c r="AG94" s="449">
        <f t="shared" si="411"/>
        <v>0</v>
      </c>
      <c r="AH94" s="250">
        <f t="shared" si="396"/>
        <v>0</v>
      </c>
      <c r="AI94" s="246">
        <f t="shared" si="397"/>
        <v>0</v>
      </c>
      <c r="AJ94" s="450">
        <f t="shared" si="398"/>
        <v>0</v>
      </c>
      <c r="AK94" s="449">
        <f t="shared" si="399"/>
        <v>0</v>
      </c>
      <c r="AL94" s="451">
        <f t="shared" si="412"/>
        <v>0</v>
      </c>
      <c r="AM94" s="452">
        <f t="shared" si="294"/>
        <v>0</v>
      </c>
      <c r="AN94" s="449">
        <f t="shared" si="413"/>
        <v>0</v>
      </c>
      <c r="AO94" s="451">
        <f t="shared" si="414"/>
        <v>0</v>
      </c>
      <c r="AP94" s="250">
        <v>0</v>
      </c>
      <c r="AQ94" s="246">
        <v>0</v>
      </c>
      <c r="AR94" s="450">
        <v>0</v>
      </c>
      <c r="AS94" s="449">
        <v>0</v>
      </c>
      <c r="AT94" s="452">
        <f t="shared" si="297"/>
        <v>0</v>
      </c>
      <c r="AU94" s="452">
        <f t="shared" si="298"/>
        <v>0</v>
      </c>
      <c r="AV94" s="449">
        <f t="shared" si="415"/>
        <v>0</v>
      </c>
      <c r="AW94" s="449">
        <f t="shared" si="416"/>
        <v>0</v>
      </c>
      <c r="AX94" s="248">
        <v>0</v>
      </c>
      <c r="AY94" s="246">
        <v>0</v>
      </c>
      <c r="AZ94" s="450">
        <v>0</v>
      </c>
      <c r="BA94" s="449">
        <v>0</v>
      </c>
      <c r="BB94" s="452">
        <v>0</v>
      </c>
      <c r="BC94" s="449">
        <f t="shared" si="417"/>
        <v>0</v>
      </c>
      <c r="BD94" s="451">
        <f t="shared" si="418"/>
        <v>0</v>
      </c>
      <c r="BE94" s="248">
        <v>0</v>
      </c>
      <c r="BF94" s="246">
        <v>0</v>
      </c>
      <c r="BG94" s="450">
        <v>0</v>
      </c>
      <c r="BH94" s="449">
        <v>0</v>
      </c>
      <c r="BI94" s="452">
        <v>0</v>
      </c>
      <c r="BJ94" s="449">
        <f t="shared" si="303"/>
        <v>0</v>
      </c>
      <c r="BK94" s="451">
        <f t="shared" si="304"/>
        <v>0</v>
      </c>
      <c r="BL94" s="248">
        <v>0</v>
      </c>
      <c r="BM94" s="246">
        <v>0</v>
      </c>
      <c r="BN94" s="450">
        <v>0</v>
      </c>
      <c r="BO94" s="449">
        <v>0</v>
      </c>
      <c r="BP94" s="452">
        <f t="shared" si="419"/>
        <v>0</v>
      </c>
      <c r="BQ94" s="452">
        <f t="shared" si="306"/>
        <v>0</v>
      </c>
      <c r="BR94" s="449">
        <f t="shared" si="420"/>
        <v>0</v>
      </c>
      <c r="BS94" s="451">
        <f t="shared" si="421"/>
        <v>0</v>
      </c>
      <c r="BT94" s="248">
        <v>0</v>
      </c>
      <c r="BU94" s="246">
        <v>0</v>
      </c>
      <c r="BV94" s="450">
        <v>0</v>
      </c>
      <c r="BW94" s="449">
        <v>0</v>
      </c>
      <c r="BX94" s="452">
        <v>0</v>
      </c>
      <c r="BY94" s="449">
        <v>0</v>
      </c>
      <c r="BZ94" s="451">
        <f t="shared" si="422"/>
        <v>0</v>
      </c>
      <c r="CA94" s="242">
        <f t="shared" si="423"/>
        <v>0</v>
      </c>
      <c r="CB94" s="453">
        <f t="shared" si="424"/>
        <v>0</v>
      </c>
      <c r="CC94" s="45">
        <f t="shared" si="425"/>
        <v>0</v>
      </c>
    </row>
    <row r="95" spans="1:155">
      <c r="B95" s="559"/>
      <c r="C95" s="239"/>
      <c r="D95" s="239"/>
      <c r="E95" s="240"/>
      <c r="F95" s="241">
        <f t="shared" si="283"/>
        <v>0</v>
      </c>
      <c r="G95" s="239"/>
      <c r="H95" s="239"/>
      <c r="I95" s="239"/>
      <c r="J95" s="239"/>
      <c r="K95" s="239"/>
      <c r="L95" s="239"/>
      <c r="M95" s="239"/>
      <c r="N95" s="239"/>
      <c r="O95" s="239"/>
      <c r="P95" s="239"/>
      <c r="Q95" s="239"/>
      <c r="R95" s="239"/>
      <c r="S95" s="242">
        <f t="shared" si="392"/>
        <v>0</v>
      </c>
      <c r="T95" s="243">
        <f t="shared" si="393"/>
        <v>0</v>
      </c>
      <c r="U95" s="242">
        <f t="shared" si="394"/>
        <v>0</v>
      </c>
      <c r="V95" s="242">
        <f t="shared" si="395"/>
        <v>0</v>
      </c>
      <c r="W95" s="242">
        <f t="shared" si="288"/>
        <v>0</v>
      </c>
      <c r="X95" s="244"/>
      <c r="Y95" s="449">
        <f t="shared" si="289"/>
        <v>0</v>
      </c>
      <c r="Z95" s="248">
        <v>0</v>
      </c>
      <c r="AA95" s="246">
        <v>0</v>
      </c>
      <c r="AB95" s="450">
        <v>0</v>
      </c>
      <c r="AC95" s="449">
        <v>0</v>
      </c>
      <c r="AD95" s="451">
        <f t="shared" si="333"/>
        <v>0</v>
      </c>
      <c r="AE95" s="451">
        <f t="shared" si="290"/>
        <v>0</v>
      </c>
      <c r="AF95" s="449">
        <f t="shared" si="291"/>
        <v>0</v>
      </c>
      <c r="AG95" s="449">
        <f t="shared" si="292"/>
        <v>0</v>
      </c>
      <c r="AH95" s="250">
        <f t="shared" si="396"/>
        <v>0</v>
      </c>
      <c r="AI95" s="246">
        <f t="shared" si="397"/>
        <v>0</v>
      </c>
      <c r="AJ95" s="450">
        <f t="shared" si="398"/>
        <v>0</v>
      </c>
      <c r="AK95" s="449">
        <f t="shared" si="399"/>
        <v>0</v>
      </c>
      <c r="AL95" s="451">
        <f t="shared" si="400"/>
        <v>0</v>
      </c>
      <c r="AM95" s="452">
        <f t="shared" si="294"/>
        <v>0</v>
      </c>
      <c r="AN95" s="449">
        <f t="shared" si="295"/>
        <v>0</v>
      </c>
      <c r="AO95" s="451">
        <f t="shared" si="401"/>
        <v>0</v>
      </c>
      <c r="AP95" s="250">
        <v>0</v>
      </c>
      <c r="AQ95" s="246">
        <v>0</v>
      </c>
      <c r="AR95" s="450">
        <v>0</v>
      </c>
      <c r="AS95" s="449">
        <v>0</v>
      </c>
      <c r="AT95" s="452">
        <f t="shared" si="297"/>
        <v>0</v>
      </c>
      <c r="AU95" s="452">
        <f t="shared" si="298"/>
        <v>0</v>
      </c>
      <c r="AV95" s="449">
        <f t="shared" si="299"/>
        <v>0</v>
      </c>
      <c r="AW95" s="449">
        <f t="shared" si="300"/>
        <v>0</v>
      </c>
      <c r="AX95" s="248">
        <v>0</v>
      </c>
      <c r="AY95" s="246">
        <v>0</v>
      </c>
      <c r="AZ95" s="450">
        <v>0</v>
      </c>
      <c r="BA95" s="449">
        <v>0</v>
      </c>
      <c r="BB95" s="452">
        <v>0</v>
      </c>
      <c r="BC95" s="449">
        <f t="shared" si="301"/>
        <v>0</v>
      </c>
      <c r="BD95" s="451">
        <f t="shared" si="402"/>
        <v>0</v>
      </c>
      <c r="BE95" s="248">
        <v>0</v>
      </c>
      <c r="BF95" s="246">
        <v>0</v>
      </c>
      <c r="BG95" s="450">
        <v>0</v>
      </c>
      <c r="BH95" s="449">
        <v>0</v>
      </c>
      <c r="BI95" s="452">
        <v>0</v>
      </c>
      <c r="BJ95" s="449">
        <f t="shared" si="303"/>
        <v>0</v>
      </c>
      <c r="BK95" s="451">
        <f t="shared" si="304"/>
        <v>0</v>
      </c>
      <c r="BL95" s="248">
        <v>0</v>
      </c>
      <c r="BM95" s="246">
        <v>0</v>
      </c>
      <c r="BN95" s="450">
        <v>0</v>
      </c>
      <c r="BO95" s="449">
        <v>0</v>
      </c>
      <c r="BP95" s="452">
        <f t="shared" si="403"/>
        <v>0</v>
      </c>
      <c r="BQ95" s="452">
        <f t="shared" si="306"/>
        <v>0</v>
      </c>
      <c r="BR95" s="449">
        <f t="shared" si="307"/>
        <v>0</v>
      </c>
      <c r="BS95" s="451">
        <f t="shared" si="404"/>
        <v>0</v>
      </c>
      <c r="BT95" s="248">
        <v>0</v>
      </c>
      <c r="BU95" s="246">
        <v>0</v>
      </c>
      <c r="BV95" s="450">
        <v>0</v>
      </c>
      <c r="BW95" s="449">
        <v>0</v>
      </c>
      <c r="BX95" s="452">
        <v>0</v>
      </c>
      <c r="BY95" s="449">
        <v>0</v>
      </c>
      <c r="BZ95" s="451">
        <f t="shared" si="309"/>
        <v>0</v>
      </c>
      <c r="CA95" s="242">
        <f t="shared" si="310"/>
        <v>0</v>
      </c>
      <c r="CB95" s="453">
        <f t="shared" si="311"/>
        <v>0</v>
      </c>
      <c r="CC95" s="45">
        <f t="shared" si="50"/>
        <v>0</v>
      </c>
    </row>
    <row r="96" spans="1:155">
      <c r="B96" s="558"/>
      <c r="C96" s="239"/>
      <c r="D96" s="239"/>
      <c r="E96" s="240"/>
      <c r="F96" s="241">
        <f t="shared" si="283"/>
        <v>0</v>
      </c>
      <c r="G96" s="239"/>
      <c r="H96" s="239"/>
      <c r="I96" s="239"/>
      <c r="J96" s="239"/>
      <c r="K96" s="239"/>
      <c r="L96" s="239"/>
      <c r="M96" s="239"/>
      <c r="N96" s="239"/>
      <c r="O96" s="239"/>
      <c r="P96" s="239"/>
      <c r="Q96" s="239"/>
      <c r="R96" s="239"/>
      <c r="S96" s="242">
        <f t="shared" si="392"/>
        <v>0</v>
      </c>
      <c r="T96" s="243">
        <f t="shared" si="393"/>
        <v>0</v>
      </c>
      <c r="U96" s="242">
        <f t="shared" si="394"/>
        <v>0</v>
      </c>
      <c r="V96" s="242">
        <f t="shared" si="395"/>
        <v>0</v>
      </c>
      <c r="W96" s="242">
        <f t="shared" si="288"/>
        <v>0</v>
      </c>
      <c r="X96" s="244"/>
      <c r="Y96" s="449">
        <f t="shared" si="289"/>
        <v>0</v>
      </c>
      <c r="Z96" s="248">
        <v>0</v>
      </c>
      <c r="AA96" s="246">
        <v>0</v>
      </c>
      <c r="AB96" s="450">
        <v>0</v>
      </c>
      <c r="AC96" s="449">
        <v>0</v>
      </c>
      <c r="AD96" s="451">
        <f t="shared" si="333"/>
        <v>0</v>
      </c>
      <c r="AE96" s="451">
        <f t="shared" si="290"/>
        <v>0</v>
      </c>
      <c r="AF96" s="449">
        <f t="shared" si="291"/>
        <v>0</v>
      </c>
      <c r="AG96" s="449">
        <f t="shared" si="292"/>
        <v>0</v>
      </c>
      <c r="AH96" s="250">
        <f t="shared" si="396"/>
        <v>0</v>
      </c>
      <c r="AI96" s="246">
        <f t="shared" si="397"/>
        <v>0</v>
      </c>
      <c r="AJ96" s="450">
        <f t="shared" si="398"/>
        <v>0</v>
      </c>
      <c r="AK96" s="449">
        <f t="shared" si="399"/>
        <v>0</v>
      </c>
      <c r="AL96" s="451">
        <f t="shared" si="400"/>
        <v>0</v>
      </c>
      <c r="AM96" s="452">
        <f t="shared" si="294"/>
        <v>0</v>
      </c>
      <c r="AN96" s="449">
        <f t="shared" si="295"/>
        <v>0</v>
      </c>
      <c r="AO96" s="451">
        <f t="shared" si="401"/>
        <v>0</v>
      </c>
      <c r="AP96" s="250">
        <v>0</v>
      </c>
      <c r="AQ96" s="246">
        <v>0</v>
      </c>
      <c r="AR96" s="450">
        <v>0</v>
      </c>
      <c r="AS96" s="449">
        <v>0</v>
      </c>
      <c r="AT96" s="452">
        <f t="shared" si="297"/>
        <v>0</v>
      </c>
      <c r="AU96" s="452">
        <f t="shared" si="298"/>
        <v>0</v>
      </c>
      <c r="AV96" s="449">
        <f t="shared" si="299"/>
        <v>0</v>
      </c>
      <c r="AW96" s="449">
        <f t="shared" si="300"/>
        <v>0</v>
      </c>
      <c r="AX96" s="248">
        <v>0</v>
      </c>
      <c r="AY96" s="246">
        <v>0</v>
      </c>
      <c r="AZ96" s="450">
        <v>0</v>
      </c>
      <c r="BA96" s="449">
        <v>0</v>
      </c>
      <c r="BB96" s="452">
        <v>0</v>
      </c>
      <c r="BC96" s="449">
        <f t="shared" si="301"/>
        <v>0</v>
      </c>
      <c r="BD96" s="451">
        <f t="shared" si="402"/>
        <v>0</v>
      </c>
      <c r="BE96" s="248">
        <v>0</v>
      </c>
      <c r="BF96" s="246">
        <v>0</v>
      </c>
      <c r="BG96" s="450">
        <v>0</v>
      </c>
      <c r="BH96" s="449">
        <v>0</v>
      </c>
      <c r="BI96" s="452">
        <v>0</v>
      </c>
      <c r="BJ96" s="449">
        <f t="shared" si="303"/>
        <v>0</v>
      </c>
      <c r="BK96" s="451">
        <f t="shared" si="304"/>
        <v>0</v>
      </c>
      <c r="BL96" s="248">
        <v>0</v>
      </c>
      <c r="BM96" s="246">
        <v>0</v>
      </c>
      <c r="BN96" s="450">
        <v>0</v>
      </c>
      <c r="BO96" s="449">
        <v>0</v>
      </c>
      <c r="BP96" s="452">
        <f t="shared" si="403"/>
        <v>0</v>
      </c>
      <c r="BQ96" s="452">
        <f t="shared" si="306"/>
        <v>0</v>
      </c>
      <c r="BR96" s="449">
        <f t="shared" si="307"/>
        <v>0</v>
      </c>
      <c r="BS96" s="451">
        <f t="shared" si="404"/>
        <v>0</v>
      </c>
      <c r="BT96" s="248">
        <v>0</v>
      </c>
      <c r="BU96" s="246">
        <v>0</v>
      </c>
      <c r="BV96" s="450">
        <v>0</v>
      </c>
      <c r="BW96" s="449">
        <v>0</v>
      </c>
      <c r="BX96" s="452">
        <v>0</v>
      </c>
      <c r="BY96" s="449">
        <v>0</v>
      </c>
      <c r="BZ96" s="451">
        <f t="shared" si="309"/>
        <v>0</v>
      </c>
      <c r="CA96" s="242">
        <f t="shared" si="310"/>
        <v>0</v>
      </c>
      <c r="CB96" s="453">
        <f t="shared" si="311"/>
        <v>0</v>
      </c>
      <c r="CC96" s="45">
        <f t="shared" si="50"/>
        <v>0</v>
      </c>
    </row>
    <row r="97" spans="2:81">
      <c r="B97" s="557" t="s">
        <v>267</v>
      </c>
      <c r="C97" s="239"/>
      <c r="D97" s="239"/>
      <c r="E97" s="240"/>
      <c r="F97" s="241">
        <f t="shared" si="283"/>
        <v>0</v>
      </c>
      <c r="G97" s="239"/>
      <c r="H97" s="239"/>
      <c r="I97" s="239"/>
      <c r="J97" s="239"/>
      <c r="K97" s="239"/>
      <c r="L97" s="239"/>
      <c r="M97" s="239"/>
      <c r="N97" s="239"/>
      <c r="O97" s="239"/>
      <c r="P97" s="239"/>
      <c r="Q97" s="239"/>
      <c r="R97" s="239"/>
      <c r="S97" s="242">
        <f t="shared" si="392"/>
        <v>0</v>
      </c>
      <c r="T97" s="243">
        <f t="shared" si="393"/>
        <v>0</v>
      </c>
      <c r="U97" s="242">
        <f t="shared" si="394"/>
        <v>0</v>
      </c>
      <c r="V97" s="242">
        <f t="shared" si="395"/>
        <v>0</v>
      </c>
      <c r="W97" s="242">
        <f t="shared" si="288"/>
        <v>0</v>
      </c>
      <c r="X97" s="244"/>
      <c r="Y97" s="449">
        <f t="shared" si="289"/>
        <v>0</v>
      </c>
      <c r="Z97" s="248">
        <v>0</v>
      </c>
      <c r="AA97" s="246">
        <v>0</v>
      </c>
      <c r="AB97" s="450">
        <v>0</v>
      </c>
      <c r="AC97" s="449">
        <v>0</v>
      </c>
      <c r="AD97" s="451">
        <f t="shared" si="333"/>
        <v>0</v>
      </c>
      <c r="AE97" s="451">
        <f t="shared" si="290"/>
        <v>0</v>
      </c>
      <c r="AF97" s="449">
        <f t="shared" si="291"/>
        <v>0</v>
      </c>
      <c r="AG97" s="449">
        <f t="shared" si="292"/>
        <v>0</v>
      </c>
      <c r="AH97" s="250">
        <f t="shared" si="396"/>
        <v>0</v>
      </c>
      <c r="AI97" s="246">
        <f t="shared" si="397"/>
        <v>0</v>
      </c>
      <c r="AJ97" s="450">
        <f t="shared" si="398"/>
        <v>0</v>
      </c>
      <c r="AK97" s="449">
        <f t="shared" si="399"/>
        <v>0</v>
      </c>
      <c r="AL97" s="451">
        <f t="shared" si="400"/>
        <v>0</v>
      </c>
      <c r="AM97" s="452">
        <f t="shared" si="294"/>
        <v>0</v>
      </c>
      <c r="AN97" s="449">
        <f t="shared" si="295"/>
        <v>0</v>
      </c>
      <c r="AO97" s="451">
        <f t="shared" si="401"/>
        <v>0</v>
      </c>
      <c r="AP97" s="250">
        <f t="shared" ref="AP97:AP104" si="426">VLOOKUP($E97,$CD$138:$DH$504,8,FALSE)</f>
        <v>0</v>
      </c>
      <c r="AQ97" s="246">
        <f t="shared" ref="AQ97:AQ104" si="427">VLOOKUP($E97,$CD$138:$DH$504,9,FALSE)</f>
        <v>0</v>
      </c>
      <c r="AR97" s="450">
        <f t="shared" ref="AR97:AR104" si="428">IF($S97&gt;0,VLOOKUP($E97,$CD$138:$DH$504,12,FALSE),0)</f>
        <v>0</v>
      </c>
      <c r="AS97" s="449">
        <f t="shared" ref="AS97:AS104" si="429">IF($S97&gt;0,VLOOKUP($E97,$CD$138:$DH$504,11,FALSE),0)</f>
        <v>0</v>
      </c>
      <c r="AT97" s="451">
        <f t="shared" si="297"/>
        <v>0</v>
      </c>
      <c r="AU97" s="452">
        <f t="shared" si="298"/>
        <v>0</v>
      </c>
      <c r="AV97" s="449">
        <f t="shared" si="299"/>
        <v>0</v>
      </c>
      <c r="AW97" s="449">
        <f t="shared" si="300"/>
        <v>0</v>
      </c>
      <c r="AX97" s="248">
        <v>0</v>
      </c>
      <c r="AY97" s="246">
        <v>0</v>
      </c>
      <c r="AZ97" s="450">
        <v>0</v>
      </c>
      <c r="BA97" s="449">
        <v>0</v>
      </c>
      <c r="BB97" s="452">
        <v>0</v>
      </c>
      <c r="BC97" s="449">
        <f t="shared" si="301"/>
        <v>0</v>
      </c>
      <c r="BD97" s="451">
        <f t="shared" si="402"/>
        <v>0</v>
      </c>
      <c r="BE97" s="248">
        <v>0</v>
      </c>
      <c r="BF97" s="246">
        <v>0</v>
      </c>
      <c r="BG97" s="450">
        <v>0</v>
      </c>
      <c r="BH97" s="449">
        <v>0</v>
      </c>
      <c r="BI97" s="452">
        <v>0</v>
      </c>
      <c r="BJ97" s="449">
        <f t="shared" si="303"/>
        <v>0</v>
      </c>
      <c r="BK97" s="451">
        <f t="shared" si="304"/>
        <v>0</v>
      </c>
      <c r="BL97" s="248">
        <v>0</v>
      </c>
      <c r="BM97" s="246">
        <v>0</v>
      </c>
      <c r="BN97" s="450">
        <v>0</v>
      </c>
      <c r="BO97" s="449">
        <v>0</v>
      </c>
      <c r="BP97" s="452">
        <f t="shared" si="403"/>
        <v>0</v>
      </c>
      <c r="BQ97" s="452">
        <f t="shared" si="306"/>
        <v>0</v>
      </c>
      <c r="BR97" s="449">
        <f t="shared" si="307"/>
        <v>0</v>
      </c>
      <c r="BS97" s="451">
        <f t="shared" si="404"/>
        <v>0</v>
      </c>
      <c r="BT97" s="248">
        <v>0</v>
      </c>
      <c r="BU97" s="246">
        <v>0</v>
      </c>
      <c r="BV97" s="450">
        <v>0</v>
      </c>
      <c r="BW97" s="449">
        <v>0</v>
      </c>
      <c r="BX97" s="452">
        <v>0</v>
      </c>
      <c r="BY97" s="449">
        <v>0</v>
      </c>
      <c r="BZ97" s="451">
        <f t="shared" si="309"/>
        <v>0</v>
      </c>
      <c r="CA97" s="242">
        <f t="shared" si="310"/>
        <v>0</v>
      </c>
      <c r="CB97" s="453">
        <f t="shared" si="311"/>
        <v>0</v>
      </c>
      <c r="CC97" s="45">
        <f t="shared" si="50"/>
        <v>0</v>
      </c>
    </row>
    <row r="98" spans="2:81">
      <c r="B98" s="559"/>
      <c r="C98" s="239"/>
      <c r="D98" s="239"/>
      <c r="E98" s="240"/>
      <c r="F98" s="241">
        <f t="shared" si="283"/>
        <v>0</v>
      </c>
      <c r="G98" s="239"/>
      <c r="H98" s="239"/>
      <c r="I98" s="239"/>
      <c r="J98" s="239"/>
      <c r="K98" s="239"/>
      <c r="L98" s="239"/>
      <c r="M98" s="239"/>
      <c r="N98" s="239"/>
      <c r="O98" s="239"/>
      <c r="P98" s="239"/>
      <c r="Q98" s="239"/>
      <c r="R98" s="239"/>
      <c r="S98" s="242">
        <f t="shared" ref="S98:S99" si="430">SUM(G98:R98)</f>
        <v>0</v>
      </c>
      <c r="T98" s="243">
        <f t="shared" ref="T98:T99" si="431">COUNT(G98:R98)</f>
        <v>0</v>
      </c>
      <c r="U98" s="242">
        <f t="shared" ref="U98:U99" si="432">IF(T98&gt;1,AVERAGE(G98:R98),0)</f>
        <v>0</v>
      </c>
      <c r="V98" s="242">
        <f t="shared" ref="V98:V99" si="433">IF(T98&gt;1,STDEV(G98:R98),0)</f>
        <v>0</v>
      </c>
      <c r="W98" s="242">
        <f t="shared" si="288"/>
        <v>0</v>
      </c>
      <c r="X98" s="244"/>
      <c r="Y98" s="449">
        <f t="shared" si="289"/>
        <v>0</v>
      </c>
      <c r="Z98" s="248">
        <v>0</v>
      </c>
      <c r="AA98" s="246">
        <v>0</v>
      </c>
      <c r="AB98" s="450">
        <v>0</v>
      </c>
      <c r="AC98" s="449">
        <v>0</v>
      </c>
      <c r="AD98" s="451">
        <f t="shared" ref="AD98:AD99" si="434">($S98*Z98)/1000</f>
        <v>0</v>
      </c>
      <c r="AE98" s="451">
        <f t="shared" si="290"/>
        <v>0</v>
      </c>
      <c r="AF98" s="449">
        <f t="shared" ref="AF98:AF99" si="435">IF(AD98&gt;0,SQRT(($Y98*$Y98)+(AC98*AC98)),0)</f>
        <v>0</v>
      </c>
      <c r="AG98" s="449">
        <f t="shared" ref="AG98:AG99" si="436">IF(AE98&gt;0,SQRT(($Y98*$Y98)+(AD98*AD98)),0)</f>
        <v>0</v>
      </c>
      <c r="AH98" s="250">
        <f t="shared" si="396"/>
        <v>0</v>
      </c>
      <c r="AI98" s="246">
        <f t="shared" si="397"/>
        <v>0</v>
      </c>
      <c r="AJ98" s="450">
        <f t="shared" si="398"/>
        <v>0</v>
      </c>
      <c r="AK98" s="449">
        <f t="shared" si="399"/>
        <v>0</v>
      </c>
      <c r="AL98" s="451">
        <f t="shared" ref="AL98:AL99" si="437">($S98*AH98)/1000</f>
        <v>0</v>
      </c>
      <c r="AM98" s="452">
        <f t="shared" si="294"/>
        <v>0</v>
      </c>
      <c r="AN98" s="449">
        <f t="shared" ref="AN98:AN99" si="438">IF(AL98&gt;0,SQRT(($Y98*$Y98)+(AK98*AK98)),0)</f>
        <v>0</v>
      </c>
      <c r="AO98" s="451">
        <f t="shared" ref="AO98:AO99" si="439">(AM98*AN98)^2</f>
        <v>0</v>
      </c>
      <c r="AP98" s="250">
        <f t="shared" si="426"/>
        <v>0</v>
      </c>
      <c r="AQ98" s="246">
        <f t="shared" si="427"/>
        <v>0</v>
      </c>
      <c r="AR98" s="450">
        <f t="shared" si="428"/>
        <v>0</v>
      </c>
      <c r="AS98" s="449">
        <f t="shared" si="429"/>
        <v>0</v>
      </c>
      <c r="AT98" s="451">
        <f t="shared" si="297"/>
        <v>0</v>
      </c>
      <c r="AU98" s="452">
        <f t="shared" si="298"/>
        <v>0</v>
      </c>
      <c r="AV98" s="449">
        <f t="shared" ref="AV98:AV99" si="440">IF(AT98&gt;0,SQRT(($Y98*$Y98)+(AS98*AS98)),0)</f>
        <v>0</v>
      </c>
      <c r="AW98" s="449">
        <f t="shared" ref="AW98:AW99" si="441">IF(AU98&gt;0,SQRT(($Y98*$Y98)+(AT98*AT98)),0)</f>
        <v>0</v>
      </c>
      <c r="AX98" s="248">
        <v>0</v>
      </c>
      <c r="AY98" s="246">
        <v>0</v>
      </c>
      <c r="AZ98" s="450">
        <v>0</v>
      </c>
      <c r="BA98" s="449">
        <v>0</v>
      </c>
      <c r="BB98" s="452">
        <v>0</v>
      </c>
      <c r="BC98" s="449">
        <f t="shared" ref="BC98:BC99" si="442">IF(BB98&gt;0,SQRT(($Y98*$Y98)+(BA98*BA98)),0)</f>
        <v>0</v>
      </c>
      <c r="BD98" s="451">
        <f t="shared" ref="BD98:BD99" si="443">(BB98*BC98)^2</f>
        <v>0</v>
      </c>
      <c r="BE98" s="248">
        <v>0</v>
      </c>
      <c r="BF98" s="246">
        <v>0</v>
      </c>
      <c r="BG98" s="450">
        <v>0</v>
      </c>
      <c r="BH98" s="449">
        <v>0</v>
      </c>
      <c r="BI98" s="452">
        <v>0</v>
      </c>
      <c r="BJ98" s="449">
        <f t="shared" si="303"/>
        <v>0</v>
      </c>
      <c r="BK98" s="451">
        <f t="shared" ref="BK98:BK104" si="444">(BI98*BJ98)^2</f>
        <v>0</v>
      </c>
      <c r="BL98" s="248">
        <v>0</v>
      </c>
      <c r="BM98" s="246">
        <v>0</v>
      </c>
      <c r="BN98" s="450">
        <v>0</v>
      </c>
      <c r="BO98" s="449">
        <v>0</v>
      </c>
      <c r="BP98" s="452">
        <f t="shared" ref="BP98:BP99" si="445">($S98*BL98)/1000</f>
        <v>0</v>
      </c>
      <c r="BQ98" s="452">
        <f t="shared" si="306"/>
        <v>0</v>
      </c>
      <c r="BR98" s="449">
        <f t="shared" ref="BR98:BR99" si="446">IF(BP98&gt;0,SQRT(($Y98*$Y98)+(BO98*BO98)),0)</f>
        <v>0</v>
      </c>
      <c r="BS98" s="451">
        <f t="shared" ref="BS98:BS99" si="447">(BQ98*BR98)^2</f>
        <v>0</v>
      </c>
      <c r="BT98" s="248">
        <v>0</v>
      </c>
      <c r="BU98" s="246">
        <v>0</v>
      </c>
      <c r="BV98" s="450">
        <v>0</v>
      </c>
      <c r="BW98" s="449">
        <v>0</v>
      </c>
      <c r="BX98" s="452">
        <v>0</v>
      </c>
      <c r="BY98" s="449">
        <v>0</v>
      </c>
      <c r="BZ98" s="451">
        <f t="shared" ref="BZ98:BZ99" si="448">(BX98*BY98)^2</f>
        <v>0</v>
      </c>
      <c r="CA98" s="242">
        <f t="shared" ref="CA98:CA99" si="449">IF(C98="EmisionesGEI",D98,AE98+AM98+AU98+BB98+BQ98)</f>
        <v>0</v>
      </c>
      <c r="CB98" s="453">
        <f t="shared" ref="CB98:CB99" si="450">IF(CA98&gt;0,SQRT(AG98+AO98+AW98+BD98+BS98)/CA98,0)</f>
        <v>0</v>
      </c>
      <c r="CC98" s="45">
        <f t="shared" ref="CC98:CC99" si="451">(CA98*CB98)^2</f>
        <v>0</v>
      </c>
    </row>
    <row r="99" spans="2:81">
      <c r="B99" s="559"/>
      <c r="C99" s="239"/>
      <c r="D99" s="239"/>
      <c r="E99" s="240"/>
      <c r="F99" s="241">
        <f t="shared" si="283"/>
        <v>0</v>
      </c>
      <c r="G99" s="239"/>
      <c r="H99" s="239"/>
      <c r="I99" s="239"/>
      <c r="J99" s="239"/>
      <c r="K99" s="239"/>
      <c r="L99" s="239"/>
      <c r="M99" s="239"/>
      <c r="N99" s="239"/>
      <c r="O99" s="239"/>
      <c r="P99" s="239"/>
      <c r="Q99" s="239"/>
      <c r="R99" s="239"/>
      <c r="S99" s="242">
        <f t="shared" si="430"/>
        <v>0</v>
      </c>
      <c r="T99" s="243">
        <f t="shared" si="431"/>
        <v>0</v>
      </c>
      <c r="U99" s="242">
        <f t="shared" si="432"/>
        <v>0</v>
      </c>
      <c r="V99" s="242">
        <f t="shared" si="433"/>
        <v>0</v>
      </c>
      <c r="W99" s="242">
        <f t="shared" si="288"/>
        <v>0</v>
      </c>
      <c r="X99" s="244"/>
      <c r="Y99" s="449">
        <f t="shared" si="289"/>
        <v>0</v>
      </c>
      <c r="Z99" s="248">
        <v>0</v>
      </c>
      <c r="AA99" s="246">
        <v>0</v>
      </c>
      <c r="AB99" s="450">
        <v>0</v>
      </c>
      <c r="AC99" s="449">
        <v>0</v>
      </c>
      <c r="AD99" s="451">
        <f t="shared" si="434"/>
        <v>0</v>
      </c>
      <c r="AE99" s="451">
        <f t="shared" si="290"/>
        <v>0</v>
      </c>
      <c r="AF99" s="449">
        <f t="shared" si="435"/>
        <v>0</v>
      </c>
      <c r="AG99" s="449">
        <f t="shared" si="436"/>
        <v>0</v>
      </c>
      <c r="AH99" s="250">
        <f t="shared" si="396"/>
        <v>0</v>
      </c>
      <c r="AI99" s="246">
        <f t="shared" si="397"/>
        <v>0</v>
      </c>
      <c r="AJ99" s="450">
        <f t="shared" si="398"/>
        <v>0</v>
      </c>
      <c r="AK99" s="449">
        <f t="shared" si="399"/>
        <v>0</v>
      </c>
      <c r="AL99" s="451">
        <f t="shared" si="437"/>
        <v>0</v>
      </c>
      <c r="AM99" s="452">
        <f t="shared" si="294"/>
        <v>0</v>
      </c>
      <c r="AN99" s="449">
        <f t="shared" si="438"/>
        <v>0</v>
      </c>
      <c r="AO99" s="451">
        <f t="shared" si="439"/>
        <v>0</v>
      </c>
      <c r="AP99" s="250">
        <f t="shared" si="426"/>
        <v>0</v>
      </c>
      <c r="AQ99" s="246">
        <f t="shared" si="427"/>
        <v>0</v>
      </c>
      <c r="AR99" s="450">
        <f t="shared" si="428"/>
        <v>0</v>
      </c>
      <c r="AS99" s="449">
        <f t="shared" si="429"/>
        <v>0</v>
      </c>
      <c r="AT99" s="451">
        <f t="shared" si="297"/>
        <v>0</v>
      </c>
      <c r="AU99" s="452">
        <f t="shared" si="298"/>
        <v>0</v>
      </c>
      <c r="AV99" s="449">
        <f t="shared" si="440"/>
        <v>0</v>
      </c>
      <c r="AW99" s="449">
        <f t="shared" si="441"/>
        <v>0</v>
      </c>
      <c r="AX99" s="248">
        <v>0</v>
      </c>
      <c r="AY99" s="246">
        <v>0</v>
      </c>
      <c r="AZ99" s="450">
        <v>0</v>
      </c>
      <c r="BA99" s="449">
        <v>0</v>
      </c>
      <c r="BB99" s="452">
        <v>0</v>
      </c>
      <c r="BC99" s="449">
        <f t="shared" si="442"/>
        <v>0</v>
      </c>
      <c r="BD99" s="451">
        <f t="shared" si="443"/>
        <v>0</v>
      </c>
      <c r="BE99" s="248">
        <v>0</v>
      </c>
      <c r="BF99" s="246">
        <v>0</v>
      </c>
      <c r="BG99" s="450">
        <v>0</v>
      </c>
      <c r="BH99" s="449">
        <v>0</v>
      </c>
      <c r="BI99" s="452">
        <v>0</v>
      </c>
      <c r="BJ99" s="449">
        <f t="shared" si="303"/>
        <v>0</v>
      </c>
      <c r="BK99" s="451">
        <f t="shared" si="444"/>
        <v>0</v>
      </c>
      <c r="BL99" s="248">
        <v>0</v>
      </c>
      <c r="BM99" s="246">
        <v>0</v>
      </c>
      <c r="BN99" s="450">
        <v>0</v>
      </c>
      <c r="BO99" s="449">
        <v>0</v>
      </c>
      <c r="BP99" s="452">
        <f t="shared" si="445"/>
        <v>0</v>
      </c>
      <c r="BQ99" s="452">
        <f t="shared" si="306"/>
        <v>0</v>
      </c>
      <c r="BR99" s="449">
        <f t="shared" si="446"/>
        <v>0</v>
      </c>
      <c r="BS99" s="451">
        <f t="shared" si="447"/>
        <v>0</v>
      </c>
      <c r="BT99" s="248">
        <v>0</v>
      </c>
      <c r="BU99" s="246">
        <v>0</v>
      </c>
      <c r="BV99" s="450">
        <v>0</v>
      </c>
      <c r="BW99" s="449">
        <v>0</v>
      </c>
      <c r="BX99" s="452">
        <v>0</v>
      </c>
      <c r="BY99" s="449">
        <v>0</v>
      </c>
      <c r="BZ99" s="451">
        <f t="shared" si="448"/>
        <v>0</v>
      </c>
      <c r="CA99" s="242">
        <f t="shared" si="449"/>
        <v>0</v>
      </c>
      <c r="CB99" s="453">
        <f t="shared" si="450"/>
        <v>0</v>
      </c>
      <c r="CC99" s="45">
        <f t="shared" si="451"/>
        <v>0</v>
      </c>
    </row>
    <row r="100" spans="2:81">
      <c r="B100" s="559"/>
      <c r="C100" s="239"/>
      <c r="D100" s="239"/>
      <c r="E100" s="240"/>
      <c r="F100" s="241">
        <f t="shared" si="283"/>
        <v>0</v>
      </c>
      <c r="G100" s="239"/>
      <c r="H100" s="239"/>
      <c r="I100" s="239"/>
      <c r="J100" s="239"/>
      <c r="K100" s="239"/>
      <c r="L100" s="239"/>
      <c r="M100" s="239"/>
      <c r="N100" s="239"/>
      <c r="O100" s="239"/>
      <c r="P100" s="239"/>
      <c r="Q100" s="239"/>
      <c r="R100" s="239"/>
      <c r="S100" s="242">
        <f t="shared" si="392"/>
        <v>0</v>
      </c>
      <c r="T100" s="243">
        <f t="shared" si="393"/>
        <v>0</v>
      </c>
      <c r="U100" s="242">
        <f t="shared" si="394"/>
        <v>0</v>
      </c>
      <c r="V100" s="242">
        <f t="shared" si="395"/>
        <v>0</v>
      </c>
      <c r="W100" s="242">
        <f t="shared" si="288"/>
        <v>0</v>
      </c>
      <c r="X100" s="244"/>
      <c r="Y100" s="449">
        <f t="shared" si="289"/>
        <v>0</v>
      </c>
      <c r="Z100" s="248">
        <v>0</v>
      </c>
      <c r="AA100" s="246">
        <v>0</v>
      </c>
      <c r="AB100" s="450">
        <v>0</v>
      </c>
      <c r="AC100" s="449">
        <v>0</v>
      </c>
      <c r="AD100" s="451">
        <f t="shared" si="333"/>
        <v>0</v>
      </c>
      <c r="AE100" s="451">
        <f t="shared" si="290"/>
        <v>0</v>
      </c>
      <c r="AF100" s="449">
        <f t="shared" si="291"/>
        <v>0</v>
      </c>
      <c r="AG100" s="449">
        <f t="shared" si="292"/>
        <v>0</v>
      </c>
      <c r="AH100" s="250">
        <f t="shared" si="396"/>
        <v>0</v>
      </c>
      <c r="AI100" s="246">
        <f t="shared" si="397"/>
        <v>0</v>
      </c>
      <c r="AJ100" s="450">
        <f t="shared" si="398"/>
        <v>0</v>
      </c>
      <c r="AK100" s="449">
        <f t="shared" si="399"/>
        <v>0</v>
      </c>
      <c r="AL100" s="451">
        <f t="shared" si="400"/>
        <v>0</v>
      </c>
      <c r="AM100" s="452">
        <f t="shared" si="294"/>
        <v>0</v>
      </c>
      <c r="AN100" s="449">
        <f t="shared" si="295"/>
        <v>0</v>
      </c>
      <c r="AO100" s="451">
        <f t="shared" si="401"/>
        <v>0</v>
      </c>
      <c r="AP100" s="250">
        <f t="shared" si="426"/>
        <v>0</v>
      </c>
      <c r="AQ100" s="246">
        <f t="shared" si="427"/>
        <v>0</v>
      </c>
      <c r="AR100" s="450">
        <f t="shared" si="428"/>
        <v>0</v>
      </c>
      <c r="AS100" s="449">
        <f t="shared" si="429"/>
        <v>0</v>
      </c>
      <c r="AT100" s="451">
        <f t="shared" si="297"/>
        <v>0</v>
      </c>
      <c r="AU100" s="452">
        <f t="shared" si="298"/>
        <v>0</v>
      </c>
      <c r="AV100" s="449">
        <f t="shared" si="299"/>
        <v>0</v>
      </c>
      <c r="AW100" s="449">
        <f t="shared" si="300"/>
        <v>0</v>
      </c>
      <c r="AX100" s="248">
        <v>0</v>
      </c>
      <c r="AY100" s="246">
        <v>0</v>
      </c>
      <c r="AZ100" s="450">
        <v>0</v>
      </c>
      <c r="BA100" s="449">
        <v>0</v>
      </c>
      <c r="BB100" s="452">
        <v>0</v>
      </c>
      <c r="BC100" s="449">
        <f t="shared" si="301"/>
        <v>0</v>
      </c>
      <c r="BD100" s="451">
        <f t="shared" si="402"/>
        <v>0</v>
      </c>
      <c r="BE100" s="248">
        <v>0</v>
      </c>
      <c r="BF100" s="246">
        <v>0</v>
      </c>
      <c r="BG100" s="450">
        <v>0</v>
      </c>
      <c r="BH100" s="449">
        <v>0</v>
      </c>
      <c r="BI100" s="452">
        <v>0</v>
      </c>
      <c r="BJ100" s="449">
        <f t="shared" si="303"/>
        <v>0</v>
      </c>
      <c r="BK100" s="451">
        <f t="shared" si="444"/>
        <v>0</v>
      </c>
      <c r="BL100" s="248">
        <v>0</v>
      </c>
      <c r="BM100" s="246">
        <v>0</v>
      </c>
      <c r="BN100" s="450">
        <v>0</v>
      </c>
      <c r="BO100" s="449">
        <v>0</v>
      </c>
      <c r="BP100" s="452">
        <f t="shared" si="403"/>
        <v>0</v>
      </c>
      <c r="BQ100" s="452">
        <f t="shared" si="306"/>
        <v>0</v>
      </c>
      <c r="BR100" s="449">
        <f t="shared" si="307"/>
        <v>0</v>
      </c>
      <c r="BS100" s="451">
        <f t="shared" si="404"/>
        <v>0</v>
      </c>
      <c r="BT100" s="248">
        <v>0</v>
      </c>
      <c r="BU100" s="246">
        <v>0</v>
      </c>
      <c r="BV100" s="450">
        <v>0</v>
      </c>
      <c r="BW100" s="449">
        <v>0</v>
      </c>
      <c r="BX100" s="452">
        <v>0</v>
      </c>
      <c r="BY100" s="449">
        <v>0</v>
      </c>
      <c r="BZ100" s="451">
        <f t="shared" si="309"/>
        <v>0</v>
      </c>
      <c r="CA100" s="242">
        <f t="shared" si="310"/>
        <v>0</v>
      </c>
      <c r="CB100" s="453">
        <f t="shared" si="311"/>
        <v>0</v>
      </c>
      <c r="CC100" s="45">
        <f t="shared" si="50"/>
        <v>0</v>
      </c>
    </row>
    <row r="101" spans="2:81">
      <c r="B101" s="558"/>
      <c r="C101" s="239"/>
      <c r="D101" s="239"/>
      <c r="E101" s="240"/>
      <c r="F101" s="241">
        <f t="shared" si="283"/>
        <v>0</v>
      </c>
      <c r="G101" s="239"/>
      <c r="H101" s="239"/>
      <c r="I101" s="239"/>
      <c r="J101" s="239"/>
      <c r="K101" s="239"/>
      <c r="L101" s="239"/>
      <c r="M101" s="239"/>
      <c r="N101" s="239"/>
      <c r="O101" s="239"/>
      <c r="P101" s="239"/>
      <c r="Q101" s="239"/>
      <c r="R101" s="239"/>
      <c r="S101" s="242">
        <f t="shared" si="392"/>
        <v>0</v>
      </c>
      <c r="T101" s="243">
        <f t="shared" si="393"/>
        <v>0</v>
      </c>
      <c r="U101" s="242">
        <f t="shared" si="394"/>
        <v>0</v>
      </c>
      <c r="V101" s="242">
        <f t="shared" si="395"/>
        <v>0</v>
      </c>
      <c r="W101" s="242">
        <f t="shared" si="288"/>
        <v>0</v>
      </c>
      <c r="X101" s="244"/>
      <c r="Y101" s="449">
        <f t="shared" si="289"/>
        <v>0</v>
      </c>
      <c r="Z101" s="248">
        <v>0</v>
      </c>
      <c r="AA101" s="246">
        <v>0</v>
      </c>
      <c r="AB101" s="450">
        <v>0</v>
      </c>
      <c r="AC101" s="449">
        <v>0</v>
      </c>
      <c r="AD101" s="451">
        <f t="shared" si="333"/>
        <v>0</v>
      </c>
      <c r="AE101" s="451">
        <f t="shared" si="290"/>
        <v>0</v>
      </c>
      <c r="AF101" s="449">
        <f t="shared" si="291"/>
        <v>0</v>
      </c>
      <c r="AG101" s="449">
        <f t="shared" si="292"/>
        <v>0</v>
      </c>
      <c r="AH101" s="250">
        <f t="shared" si="396"/>
        <v>0</v>
      </c>
      <c r="AI101" s="246">
        <f t="shared" si="397"/>
        <v>0</v>
      </c>
      <c r="AJ101" s="450">
        <f t="shared" si="398"/>
        <v>0</v>
      </c>
      <c r="AK101" s="449">
        <f t="shared" si="399"/>
        <v>0</v>
      </c>
      <c r="AL101" s="451">
        <f t="shared" si="400"/>
        <v>0</v>
      </c>
      <c r="AM101" s="452">
        <f t="shared" si="294"/>
        <v>0</v>
      </c>
      <c r="AN101" s="449">
        <f t="shared" si="295"/>
        <v>0</v>
      </c>
      <c r="AO101" s="451">
        <f t="shared" si="401"/>
        <v>0</v>
      </c>
      <c r="AP101" s="250">
        <f t="shared" si="426"/>
        <v>0</v>
      </c>
      <c r="AQ101" s="246">
        <f t="shared" si="427"/>
        <v>0</v>
      </c>
      <c r="AR101" s="450">
        <f t="shared" si="428"/>
        <v>0</v>
      </c>
      <c r="AS101" s="449">
        <f t="shared" si="429"/>
        <v>0</v>
      </c>
      <c r="AT101" s="451">
        <f t="shared" si="297"/>
        <v>0</v>
      </c>
      <c r="AU101" s="452">
        <f t="shared" si="298"/>
        <v>0</v>
      </c>
      <c r="AV101" s="449">
        <f t="shared" si="299"/>
        <v>0</v>
      </c>
      <c r="AW101" s="449">
        <f t="shared" si="300"/>
        <v>0</v>
      </c>
      <c r="AX101" s="248">
        <v>0</v>
      </c>
      <c r="AY101" s="246">
        <v>0</v>
      </c>
      <c r="AZ101" s="450">
        <v>0</v>
      </c>
      <c r="BA101" s="449">
        <v>0</v>
      </c>
      <c r="BB101" s="452">
        <v>0</v>
      </c>
      <c r="BC101" s="449">
        <f t="shared" si="301"/>
        <v>0</v>
      </c>
      <c r="BD101" s="451">
        <f t="shared" si="402"/>
        <v>0</v>
      </c>
      <c r="BE101" s="248">
        <v>0</v>
      </c>
      <c r="BF101" s="246">
        <v>0</v>
      </c>
      <c r="BG101" s="450">
        <v>0</v>
      </c>
      <c r="BH101" s="449">
        <v>0</v>
      </c>
      <c r="BI101" s="452">
        <v>0</v>
      </c>
      <c r="BJ101" s="449">
        <f t="shared" si="303"/>
        <v>0</v>
      </c>
      <c r="BK101" s="451">
        <f t="shared" si="444"/>
        <v>0</v>
      </c>
      <c r="BL101" s="248">
        <v>0</v>
      </c>
      <c r="BM101" s="246">
        <v>0</v>
      </c>
      <c r="BN101" s="450">
        <v>0</v>
      </c>
      <c r="BO101" s="449">
        <v>0</v>
      </c>
      <c r="BP101" s="452">
        <f t="shared" si="403"/>
        <v>0</v>
      </c>
      <c r="BQ101" s="452">
        <f t="shared" si="306"/>
        <v>0</v>
      </c>
      <c r="BR101" s="449">
        <f t="shared" si="307"/>
        <v>0</v>
      </c>
      <c r="BS101" s="451">
        <f t="shared" si="404"/>
        <v>0</v>
      </c>
      <c r="BT101" s="248">
        <v>0</v>
      </c>
      <c r="BU101" s="246">
        <v>0</v>
      </c>
      <c r="BV101" s="450">
        <v>0</v>
      </c>
      <c r="BW101" s="449">
        <v>0</v>
      </c>
      <c r="BX101" s="452">
        <v>0</v>
      </c>
      <c r="BY101" s="449">
        <v>0</v>
      </c>
      <c r="BZ101" s="451">
        <f t="shared" si="309"/>
        <v>0</v>
      </c>
      <c r="CA101" s="242">
        <f t="shared" si="310"/>
        <v>0</v>
      </c>
      <c r="CB101" s="453">
        <f t="shared" si="311"/>
        <v>0</v>
      </c>
      <c r="CC101" s="45">
        <f t="shared" si="50"/>
        <v>0</v>
      </c>
    </row>
    <row r="102" spans="2:81">
      <c r="B102" s="557" t="s">
        <v>268</v>
      </c>
      <c r="C102" s="239"/>
      <c r="D102" s="239"/>
      <c r="E102" s="240"/>
      <c r="F102" s="241">
        <f t="shared" si="283"/>
        <v>0</v>
      </c>
      <c r="G102" s="239"/>
      <c r="H102" s="239"/>
      <c r="I102" s="239"/>
      <c r="J102" s="239"/>
      <c r="K102" s="239"/>
      <c r="L102" s="239"/>
      <c r="M102" s="239"/>
      <c r="N102" s="239"/>
      <c r="O102" s="239"/>
      <c r="P102" s="239"/>
      <c r="Q102" s="239"/>
      <c r="R102" s="239"/>
      <c r="S102" s="242">
        <f t="shared" ref="S102:S112" si="452">SUM(G102:R102)</f>
        <v>0</v>
      </c>
      <c r="T102" s="243">
        <f t="shared" ref="T102:T112" si="453">COUNT(G102:R102)</f>
        <v>0</v>
      </c>
      <c r="U102" s="242">
        <f t="shared" ref="U102:U112" si="454">IF(T102&gt;1,AVERAGE(G102:R102),0)</f>
        <v>0</v>
      </c>
      <c r="V102" s="242">
        <f t="shared" ref="V102:V112" si="455">IF(T102&gt;1,STDEV(G102:R102),0)</f>
        <v>0</v>
      </c>
      <c r="W102" s="242">
        <f t="shared" si="288"/>
        <v>0</v>
      </c>
      <c r="X102" s="244"/>
      <c r="Y102" s="449">
        <f t="shared" si="289"/>
        <v>0</v>
      </c>
      <c r="Z102" s="248">
        <v>0</v>
      </c>
      <c r="AA102" s="246">
        <v>0</v>
      </c>
      <c r="AB102" s="450">
        <v>0</v>
      </c>
      <c r="AC102" s="449">
        <v>0</v>
      </c>
      <c r="AD102" s="451">
        <f t="shared" si="333"/>
        <v>0</v>
      </c>
      <c r="AE102" s="451">
        <f t="shared" si="290"/>
        <v>0</v>
      </c>
      <c r="AF102" s="449">
        <f t="shared" ref="AF102:AF112" si="456">IF(AD102&gt;0,SQRT(($Y102*$Y102)+(AC102*AC102)),0)</f>
        <v>0</v>
      </c>
      <c r="AG102" s="449">
        <f t="shared" ref="AG102:AG112" si="457">IF(AE102&gt;0,SQRT(($Y102*$Y102)+(AD102*AD102)),0)</f>
        <v>0</v>
      </c>
      <c r="AH102" s="250">
        <f>VLOOKUP($E102,$CD$138:$DH$504,3,FALSE)</f>
        <v>0</v>
      </c>
      <c r="AI102" s="246">
        <f t="shared" si="397"/>
        <v>0</v>
      </c>
      <c r="AJ102" s="450">
        <f t="shared" si="398"/>
        <v>0</v>
      </c>
      <c r="AK102" s="449">
        <f t="shared" si="399"/>
        <v>0</v>
      </c>
      <c r="AL102" s="451">
        <f t="shared" ref="AL102:AL112" si="458">($S102*AH102)/1000</f>
        <v>0</v>
      </c>
      <c r="AM102" s="452">
        <f t="shared" si="294"/>
        <v>0</v>
      </c>
      <c r="AN102" s="449">
        <f t="shared" ref="AN102:AN112" si="459">IF(AL102&gt;0,SQRT(($Y102*$Y102)+(AK102*AK102)),0)</f>
        <v>0</v>
      </c>
      <c r="AO102" s="451">
        <f t="shared" ref="AO102:AO112" si="460">IF(AM102&gt;0,SQRT(($Y102*$Y102)+(AL102*AL102)),0)</f>
        <v>0</v>
      </c>
      <c r="AP102" s="250">
        <f t="shared" si="426"/>
        <v>0</v>
      </c>
      <c r="AQ102" s="246">
        <f t="shared" si="427"/>
        <v>0</v>
      </c>
      <c r="AR102" s="450">
        <f t="shared" si="428"/>
        <v>0</v>
      </c>
      <c r="AS102" s="449">
        <f t="shared" si="429"/>
        <v>0</v>
      </c>
      <c r="AT102" s="452">
        <f t="shared" ref="AT102:AT112" si="461">($S102*AP102)/1000</f>
        <v>0</v>
      </c>
      <c r="AU102" s="452">
        <f t="shared" si="298"/>
        <v>0</v>
      </c>
      <c r="AV102" s="449">
        <f t="shared" ref="AV102:AV112" si="462">IF(AT102&gt;0,SQRT(($Y102*$Y102)+(AS102*AS102)),0)</f>
        <v>0</v>
      </c>
      <c r="AW102" s="449">
        <f t="shared" ref="AW102:AW114" si="463">(AU102*AV102)^2</f>
        <v>0</v>
      </c>
      <c r="AX102" s="248">
        <v>0</v>
      </c>
      <c r="AY102" s="246">
        <v>0</v>
      </c>
      <c r="AZ102" s="450">
        <v>0</v>
      </c>
      <c r="BA102" s="449">
        <v>0</v>
      </c>
      <c r="BB102" s="452">
        <v>0</v>
      </c>
      <c r="BC102" s="449">
        <f t="shared" ref="BC102:BC112" si="464">IF(BB102&gt;0,SQRT(($Y102*$Y102)+(BA102*BA102)),0)</f>
        <v>0</v>
      </c>
      <c r="BD102" s="451">
        <f t="shared" ref="BD102:BD114" si="465">(BB102*BC102)^2</f>
        <v>0</v>
      </c>
      <c r="BE102" s="248">
        <v>0</v>
      </c>
      <c r="BF102" s="246">
        <v>0</v>
      </c>
      <c r="BG102" s="450">
        <v>0</v>
      </c>
      <c r="BH102" s="449">
        <v>0</v>
      </c>
      <c r="BI102" s="452">
        <v>0</v>
      </c>
      <c r="BJ102" s="449">
        <f t="shared" si="303"/>
        <v>0</v>
      </c>
      <c r="BK102" s="451">
        <f t="shared" si="444"/>
        <v>0</v>
      </c>
      <c r="BL102" s="248">
        <v>0</v>
      </c>
      <c r="BM102" s="246">
        <v>0</v>
      </c>
      <c r="BN102" s="450">
        <v>0</v>
      </c>
      <c r="BO102" s="449">
        <v>0</v>
      </c>
      <c r="BP102" s="452">
        <f t="shared" ref="BP102:BP112" si="466">($S102*BL102)/1000</f>
        <v>0</v>
      </c>
      <c r="BQ102" s="452">
        <f t="shared" si="306"/>
        <v>0</v>
      </c>
      <c r="BR102" s="449">
        <f t="shared" ref="BR102:BR112" si="467">IF(BP102&gt;0,SQRT(($Y102*$Y102)+(BO102*BO102)),0)</f>
        <v>0</v>
      </c>
      <c r="BS102" s="451">
        <f t="shared" ref="BS102:BS114" si="468">(BQ102*BR102)^2</f>
        <v>0</v>
      </c>
      <c r="BT102" s="248">
        <f>VLOOKUP($E102,$CD$138:$DI$504,32,FALSE)</f>
        <v>0</v>
      </c>
      <c r="BU102" s="246">
        <f>VLOOKUP($E102,$CD$138:$DH$504,15,FALSE)</f>
        <v>0</v>
      </c>
      <c r="BV102" s="450">
        <f>IF($S102&gt;0,VLOOKUP($E102,$CD$138:$DH$504,18,FALSE),0)</f>
        <v>0</v>
      </c>
      <c r="BW102" s="449">
        <f>IF($S102&gt;0,VLOOKUP($E102,$CD$138:$DH$504,17,FALSE),0)</f>
        <v>0</v>
      </c>
      <c r="BX102" s="451">
        <f t="shared" ref="BX102:BX104" si="469">($S102*BT102)/1000</f>
        <v>0</v>
      </c>
      <c r="BY102" s="449">
        <f t="shared" ref="BY102:BY103" si="470">IF(BX102&gt;0,SQRT(($Y102*$Y102)+(BW102*BW102)),0)</f>
        <v>0</v>
      </c>
      <c r="BZ102" s="451">
        <f t="shared" si="309"/>
        <v>0</v>
      </c>
      <c r="CA102" s="242">
        <f t="shared" si="310"/>
        <v>0</v>
      </c>
      <c r="CB102" s="453">
        <f t="shared" si="311"/>
        <v>0</v>
      </c>
      <c r="CC102" s="45">
        <f t="shared" si="50"/>
        <v>0</v>
      </c>
    </row>
    <row r="103" spans="2:81">
      <c r="B103" s="559"/>
      <c r="C103" s="239"/>
      <c r="D103" s="239"/>
      <c r="E103" s="240"/>
      <c r="F103" s="241">
        <f t="shared" si="283"/>
        <v>0</v>
      </c>
      <c r="G103" s="239"/>
      <c r="H103" s="239"/>
      <c r="I103" s="239"/>
      <c r="J103" s="239"/>
      <c r="K103" s="239"/>
      <c r="L103" s="239"/>
      <c r="M103" s="239"/>
      <c r="N103" s="239"/>
      <c r="O103" s="239"/>
      <c r="P103" s="239"/>
      <c r="Q103" s="239"/>
      <c r="R103" s="239"/>
      <c r="S103" s="242">
        <f t="shared" si="452"/>
        <v>0</v>
      </c>
      <c r="T103" s="243">
        <f t="shared" si="453"/>
        <v>0</v>
      </c>
      <c r="U103" s="242">
        <f t="shared" si="454"/>
        <v>0</v>
      </c>
      <c r="V103" s="242">
        <f t="shared" si="455"/>
        <v>0</v>
      </c>
      <c r="W103" s="242">
        <f t="shared" si="288"/>
        <v>0</v>
      </c>
      <c r="X103" s="244"/>
      <c r="Y103" s="449">
        <f t="shared" si="289"/>
        <v>0</v>
      </c>
      <c r="Z103" s="248">
        <v>0</v>
      </c>
      <c r="AA103" s="246">
        <v>0</v>
      </c>
      <c r="AB103" s="450">
        <v>0</v>
      </c>
      <c r="AC103" s="449">
        <v>0</v>
      </c>
      <c r="AD103" s="451">
        <f t="shared" ref="AD103" si="471">($S103*Z103)/1000</f>
        <v>0</v>
      </c>
      <c r="AE103" s="451">
        <f t="shared" si="290"/>
        <v>0</v>
      </c>
      <c r="AF103" s="449">
        <f t="shared" ref="AF103" si="472">IF(AD103&gt;0,SQRT(($Y103*$Y103)+(AC103*AC103)),0)</f>
        <v>0</v>
      </c>
      <c r="AG103" s="449">
        <f t="shared" ref="AG103" si="473">IF(AE103&gt;0,SQRT(($Y103*$Y103)+(AD103*AD103)),0)</f>
        <v>0</v>
      </c>
      <c r="AH103" s="250">
        <f>VLOOKUP($E103,$CD$138:$DH$504,3,FALSE)</f>
        <v>0</v>
      </c>
      <c r="AI103" s="246">
        <f t="shared" si="397"/>
        <v>0</v>
      </c>
      <c r="AJ103" s="450">
        <f t="shared" si="398"/>
        <v>0</v>
      </c>
      <c r="AK103" s="449">
        <f t="shared" si="399"/>
        <v>0</v>
      </c>
      <c r="AL103" s="451">
        <f t="shared" si="458"/>
        <v>0</v>
      </c>
      <c r="AM103" s="452">
        <f t="shared" si="294"/>
        <v>0</v>
      </c>
      <c r="AN103" s="449">
        <f t="shared" ref="AN103" si="474">IF(AL103&gt;0,SQRT(($Y103*$Y103)+(AK103*AK103)),0)</f>
        <v>0</v>
      </c>
      <c r="AO103" s="451">
        <f t="shared" ref="AO103" si="475">IF(AM103&gt;0,SQRT(($Y103*$Y103)+(AL103*AL103)),0)</f>
        <v>0</v>
      </c>
      <c r="AP103" s="250">
        <f t="shared" si="426"/>
        <v>0</v>
      </c>
      <c r="AQ103" s="246">
        <f t="shared" si="427"/>
        <v>0</v>
      </c>
      <c r="AR103" s="450">
        <f t="shared" si="428"/>
        <v>0</v>
      </c>
      <c r="AS103" s="449">
        <f t="shared" si="429"/>
        <v>0</v>
      </c>
      <c r="AT103" s="452">
        <f t="shared" ref="AT103" si="476">($S103*AP103)/1000</f>
        <v>0</v>
      </c>
      <c r="AU103" s="452">
        <f t="shared" si="298"/>
        <v>0</v>
      </c>
      <c r="AV103" s="449">
        <f t="shared" ref="AV103" si="477">IF(AT103&gt;0,SQRT(($Y103*$Y103)+(AS103*AS103)),0)</f>
        <v>0</v>
      </c>
      <c r="AW103" s="449">
        <f t="shared" ref="AW103" si="478">(AU103*AV103)^2</f>
        <v>0</v>
      </c>
      <c r="AX103" s="248">
        <v>0</v>
      </c>
      <c r="AY103" s="246">
        <v>0</v>
      </c>
      <c r="AZ103" s="450">
        <v>0</v>
      </c>
      <c r="BA103" s="449">
        <v>0</v>
      </c>
      <c r="BB103" s="452">
        <v>0</v>
      </c>
      <c r="BC103" s="449">
        <f t="shared" ref="BC103" si="479">IF(BB103&gt;0,SQRT(($Y103*$Y103)+(BA103*BA103)),0)</f>
        <v>0</v>
      </c>
      <c r="BD103" s="451">
        <f t="shared" si="465"/>
        <v>0</v>
      </c>
      <c r="BE103" s="248">
        <v>0</v>
      </c>
      <c r="BF103" s="246">
        <v>0</v>
      </c>
      <c r="BG103" s="450">
        <v>0</v>
      </c>
      <c r="BH103" s="449">
        <v>0</v>
      </c>
      <c r="BI103" s="452">
        <v>0</v>
      </c>
      <c r="BJ103" s="449">
        <f t="shared" si="303"/>
        <v>0</v>
      </c>
      <c r="BK103" s="451">
        <f t="shared" si="444"/>
        <v>0</v>
      </c>
      <c r="BL103" s="248">
        <v>0</v>
      </c>
      <c r="BM103" s="246">
        <v>0</v>
      </c>
      <c r="BN103" s="450">
        <v>0</v>
      </c>
      <c r="BO103" s="449">
        <v>0</v>
      </c>
      <c r="BP103" s="452">
        <f t="shared" si="466"/>
        <v>0</v>
      </c>
      <c r="BQ103" s="452">
        <f t="shared" si="306"/>
        <v>0</v>
      </c>
      <c r="BR103" s="449">
        <f t="shared" ref="BR103" si="480">IF(BP103&gt;0,SQRT(($Y103*$Y103)+(BO103*BO103)),0)</f>
        <v>0</v>
      </c>
      <c r="BS103" s="451">
        <f t="shared" si="468"/>
        <v>0</v>
      </c>
      <c r="BT103" s="248">
        <f>VLOOKUP($E103,$CD$138:$DI$504,32,FALSE)</f>
        <v>0</v>
      </c>
      <c r="BU103" s="246">
        <f>VLOOKUP($E103,$CD$138:$DH$504,15,FALSE)</f>
        <v>0</v>
      </c>
      <c r="BV103" s="450">
        <f>IF($S103&gt;0,VLOOKUP($E103,$CD$138:$DH$504,18,FALSE),0)</f>
        <v>0</v>
      </c>
      <c r="BW103" s="449">
        <f>IF($S103&gt;0,VLOOKUP($E103,$CD$138:$DH$504,17,FALSE),0)</f>
        <v>0</v>
      </c>
      <c r="BX103" s="451">
        <f t="shared" si="469"/>
        <v>0</v>
      </c>
      <c r="BY103" s="449">
        <f t="shared" si="470"/>
        <v>0</v>
      </c>
      <c r="BZ103" s="451">
        <f t="shared" ref="BZ103" si="481">(BX103*BY103)^2</f>
        <v>0</v>
      </c>
      <c r="CA103" s="242">
        <f t="shared" ref="CA103" si="482">IF(C103="EmisionesGEI",D103,AE103+AM103+AU103+BB103+BQ103)</f>
        <v>0</v>
      </c>
      <c r="CB103" s="453">
        <f t="shared" ref="CB103" si="483">IF(CA103&gt;0,SQRT(AG103+AO103+AW103+BD103+BS103)/CA103,0)</f>
        <v>0</v>
      </c>
      <c r="CC103" s="45">
        <f t="shared" si="50"/>
        <v>0</v>
      </c>
    </row>
    <row r="104" spans="2:81">
      <c r="B104" s="558"/>
      <c r="C104" s="239"/>
      <c r="D104" s="239"/>
      <c r="E104" s="240"/>
      <c r="F104" s="241">
        <f t="shared" si="283"/>
        <v>0</v>
      </c>
      <c r="G104" s="239"/>
      <c r="H104" s="239"/>
      <c r="I104" s="239"/>
      <c r="J104" s="239"/>
      <c r="K104" s="239"/>
      <c r="L104" s="239"/>
      <c r="M104" s="239"/>
      <c r="N104" s="239"/>
      <c r="O104" s="239"/>
      <c r="P104" s="239"/>
      <c r="Q104" s="239"/>
      <c r="R104" s="239"/>
      <c r="S104" s="242">
        <f t="shared" si="452"/>
        <v>0</v>
      </c>
      <c r="T104" s="243">
        <f t="shared" si="453"/>
        <v>0</v>
      </c>
      <c r="U104" s="242">
        <f t="shared" si="454"/>
        <v>0</v>
      </c>
      <c r="V104" s="242">
        <f t="shared" si="455"/>
        <v>0</v>
      </c>
      <c r="W104" s="242">
        <f t="shared" si="288"/>
        <v>0</v>
      </c>
      <c r="X104" s="244"/>
      <c r="Y104" s="449">
        <f t="shared" si="289"/>
        <v>0</v>
      </c>
      <c r="Z104" s="248">
        <v>0</v>
      </c>
      <c r="AA104" s="246">
        <v>0</v>
      </c>
      <c r="AB104" s="450">
        <v>0</v>
      </c>
      <c r="AC104" s="449">
        <v>0</v>
      </c>
      <c r="AD104" s="451">
        <f t="shared" si="333"/>
        <v>0</v>
      </c>
      <c r="AE104" s="451">
        <f t="shared" si="290"/>
        <v>0</v>
      </c>
      <c r="AF104" s="449">
        <f t="shared" si="456"/>
        <v>0</v>
      </c>
      <c r="AG104" s="449">
        <f t="shared" si="457"/>
        <v>0</v>
      </c>
      <c r="AH104" s="250">
        <f>VLOOKUP($E104,$CD$138:$DH$504,3,FALSE)</f>
        <v>0</v>
      </c>
      <c r="AI104" s="246">
        <f t="shared" si="397"/>
        <v>0</v>
      </c>
      <c r="AJ104" s="450">
        <f t="shared" si="398"/>
        <v>0</v>
      </c>
      <c r="AK104" s="449">
        <f t="shared" si="399"/>
        <v>0</v>
      </c>
      <c r="AL104" s="451">
        <f t="shared" si="458"/>
        <v>0</v>
      </c>
      <c r="AM104" s="452">
        <f t="shared" si="294"/>
        <v>0</v>
      </c>
      <c r="AN104" s="449">
        <f t="shared" si="459"/>
        <v>0</v>
      </c>
      <c r="AO104" s="451">
        <f t="shared" si="460"/>
        <v>0</v>
      </c>
      <c r="AP104" s="250">
        <f t="shared" si="426"/>
        <v>0</v>
      </c>
      <c r="AQ104" s="246">
        <f t="shared" si="427"/>
        <v>0</v>
      </c>
      <c r="AR104" s="450">
        <f t="shared" si="428"/>
        <v>0</v>
      </c>
      <c r="AS104" s="449">
        <f t="shared" si="429"/>
        <v>0</v>
      </c>
      <c r="AT104" s="452">
        <f t="shared" si="461"/>
        <v>0</v>
      </c>
      <c r="AU104" s="452">
        <f t="shared" si="298"/>
        <v>0</v>
      </c>
      <c r="AV104" s="449">
        <f t="shared" si="462"/>
        <v>0</v>
      </c>
      <c r="AW104" s="449">
        <f t="shared" si="463"/>
        <v>0</v>
      </c>
      <c r="AX104" s="248">
        <v>0</v>
      </c>
      <c r="AY104" s="246">
        <v>0</v>
      </c>
      <c r="AZ104" s="450">
        <v>0</v>
      </c>
      <c r="BA104" s="449">
        <v>0</v>
      </c>
      <c r="BB104" s="452">
        <v>0</v>
      </c>
      <c r="BC104" s="449">
        <f t="shared" si="464"/>
        <v>0</v>
      </c>
      <c r="BD104" s="451">
        <f t="shared" si="465"/>
        <v>0</v>
      </c>
      <c r="BE104" s="248">
        <v>0</v>
      </c>
      <c r="BF104" s="246">
        <v>0</v>
      </c>
      <c r="BG104" s="450">
        <v>0</v>
      </c>
      <c r="BH104" s="449">
        <v>0</v>
      </c>
      <c r="BI104" s="452">
        <v>0</v>
      </c>
      <c r="BJ104" s="449">
        <f t="shared" si="303"/>
        <v>0</v>
      </c>
      <c r="BK104" s="451">
        <f t="shared" si="444"/>
        <v>0</v>
      </c>
      <c r="BL104" s="248">
        <v>0</v>
      </c>
      <c r="BM104" s="246">
        <v>0</v>
      </c>
      <c r="BN104" s="450">
        <v>0</v>
      </c>
      <c r="BO104" s="449">
        <v>0</v>
      </c>
      <c r="BP104" s="452">
        <f t="shared" si="466"/>
        <v>0</v>
      </c>
      <c r="BQ104" s="452">
        <f t="shared" si="306"/>
        <v>0</v>
      </c>
      <c r="BR104" s="449">
        <f t="shared" si="467"/>
        <v>0</v>
      </c>
      <c r="BS104" s="451">
        <f t="shared" si="468"/>
        <v>0</v>
      </c>
      <c r="BT104" s="248">
        <f>VLOOKUP($E104,$CD$138:$DI$504,32,FALSE)</f>
        <v>0</v>
      </c>
      <c r="BU104" s="246">
        <f>VLOOKUP($E104,$CD$138:$DH$504,15,FALSE)</f>
        <v>0</v>
      </c>
      <c r="BV104" s="450">
        <f>IF($S104&gt;0,VLOOKUP($E104,$CD$138:$DH$504,18,FALSE),0)</f>
        <v>0</v>
      </c>
      <c r="BW104" s="449">
        <f>IF($S104&gt;0,VLOOKUP($E104,$CD$138:$DH$504,17,FALSE),0)</f>
        <v>0</v>
      </c>
      <c r="BX104" s="451">
        <f t="shared" si="469"/>
        <v>0</v>
      </c>
      <c r="BY104" s="449">
        <f t="shared" ref="BY104" si="484">IF(BX104&gt;0,SQRT(($Y104*$Y104)+(BW104*BW104)),0)</f>
        <v>0</v>
      </c>
      <c r="BZ104" s="451">
        <f t="shared" si="309"/>
        <v>0</v>
      </c>
      <c r="CA104" s="242">
        <f t="shared" si="310"/>
        <v>0</v>
      </c>
      <c r="CB104" s="453">
        <f t="shared" si="311"/>
        <v>0</v>
      </c>
      <c r="CC104" s="45">
        <f t="shared" si="50"/>
        <v>0</v>
      </c>
    </row>
    <row r="105" spans="2:81">
      <c r="B105" s="557" t="s">
        <v>269</v>
      </c>
      <c r="C105" s="239"/>
      <c r="D105" s="239"/>
      <c r="E105" s="252"/>
      <c r="F105" s="241">
        <f t="shared" si="283"/>
        <v>0</v>
      </c>
      <c r="G105" s="239"/>
      <c r="H105" s="239"/>
      <c r="I105" s="239"/>
      <c r="J105" s="239"/>
      <c r="K105" s="239"/>
      <c r="L105" s="239"/>
      <c r="M105" s="239"/>
      <c r="N105" s="239"/>
      <c r="O105" s="239"/>
      <c r="P105" s="239"/>
      <c r="Q105" s="239"/>
      <c r="R105" s="239"/>
      <c r="S105" s="242">
        <f t="shared" si="452"/>
        <v>0</v>
      </c>
      <c r="T105" s="243">
        <f t="shared" si="453"/>
        <v>0</v>
      </c>
      <c r="U105" s="242">
        <f t="shared" si="454"/>
        <v>0</v>
      </c>
      <c r="V105" s="242">
        <f t="shared" si="455"/>
        <v>0</v>
      </c>
      <c r="W105" s="242">
        <f t="shared" si="288"/>
        <v>0</v>
      </c>
      <c r="X105" s="288"/>
      <c r="Y105" s="449">
        <f t="shared" si="289"/>
        <v>0</v>
      </c>
      <c r="Z105" s="248">
        <v>0</v>
      </c>
      <c r="AA105" s="246">
        <v>0</v>
      </c>
      <c r="AB105" s="450">
        <v>0</v>
      </c>
      <c r="AC105" s="449">
        <v>0</v>
      </c>
      <c r="AD105" s="451">
        <f t="shared" si="333"/>
        <v>0</v>
      </c>
      <c r="AE105" s="451">
        <f t="shared" si="290"/>
        <v>0</v>
      </c>
      <c r="AF105" s="449">
        <f t="shared" si="456"/>
        <v>0</v>
      </c>
      <c r="AG105" s="449">
        <f t="shared" si="457"/>
        <v>0</v>
      </c>
      <c r="AH105" s="250">
        <v>0</v>
      </c>
      <c r="AI105" s="246">
        <v>0</v>
      </c>
      <c r="AJ105" s="450">
        <v>0</v>
      </c>
      <c r="AK105" s="449">
        <v>0</v>
      </c>
      <c r="AL105" s="452">
        <f t="shared" si="458"/>
        <v>0</v>
      </c>
      <c r="AM105" s="452">
        <f t="shared" si="294"/>
        <v>0</v>
      </c>
      <c r="AN105" s="449">
        <f t="shared" si="459"/>
        <v>0</v>
      </c>
      <c r="AO105" s="449">
        <f t="shared" si="460"/>
        <v>0</v>
      </c>
      <c r="AP105" s="248">
        <f>VLOOKUP($E105,$CD$138:$DH$504,3,FALSE)</f>
        <v>0</v>
      </c>
      <c r="AQ105" s="246">
        <f>VLOOKUP($E105,$CD$138:$DH$504,4,FALSE)</f>
        <v>0</v>
      </c>
      <c r="AR105" s="450">
        <f>IF($S105&gt;0,VLOOKUP($E105,$CD$138:$DH$504,7,FALSE),0)</f>
        <v>0</v>
      </c>
      <c r="AS105" s="449">
        <f>IF($S105&gt;0,VLOOKUP($E105,$CD$138:$DH$504,6,FALSE),0)</f>
        <v>0</v>
      </c>
      <c r="AT105" s="451">
        <f t="shared" si="461"/>
        <v>0</v>
      </c>
      <c r="AU105" s="452">
        <f t="shared" si="298"/>
        <v>0</v>
      </c>
      <c r="AV105" s="449">
        <f t="shared" si="462"/>
        <v>0</v>
      </c>
      <c r="AW105" s="451">
        <f t="shared" si="463"/>
        <v>0</v>
      </c>
      <c r="AX105" s="248">
        <v>0</v>
      </c>
      <c r="AY105" s="246">
        <v>0</v>
      </c>
      <c r="AZ105" s="450">
        <v>0</v>
      </c>
      <c r="BA105" s="449">
        <v>0</v>
      </c>
      <c r="BB105" s="452">
        <v>0</v>
      </c>
      <c r="BC105" s="449">
        <f t="shared" si="464"/>
        <v>0</v>
      </c>
      <c r="BD105" s="451">
        <f t="shared" si="465"/>
        <v>0</v>
      </c>
      <c r="BE105" s="248">
        <v>0</v>
      </c>
      <c r="BF105" s="246">
        <v>0</v>
      </c>
      <c r="BG105" s="450">
        <v>0</v>
      </c>
      <c r="BH105" s="449">
        <v>0</v>
      </c>
      <c r="BI105" s="452">
        <v>0</v>
      </c>
      <c r="BJ105" s="449">
        <f t="shared" si="303"/>
        <v>0</v>
      </c>
      <c r="BK105" s="451">
        <f t="shared" ref="BK105:BK114" si="485">(BI105*BJ105)^2</f>
        <v>0</v>
      </c>
      <c r="BL105" s="248">
        <v>0</v>
      </c>
      <c r="BM105" s="246">
        <v>0</v>
      </c>
      <c r="BN105" s="450">
        <v>0</v>
      </c>
      <c r="BO105" s="449">
        <v>0</v>
      </c>
      <c r="BP105" s="452">
        <f t="shared" si="466"/>
        <v>0</v>
      </c>
      <c r="BQ105" s="452">
        <f t="shared" si="306"/>
        <v>0</v>
      </c>
      <c r="BR105" s="449">
        <f t="shared" si="467"/>
        <v>0</v>
      </c>
      <c r="BS105" s="451">
        <f t="shared" si="468"/>
        <v>0</v>
      </c>
      <c r="BT105" s="248">
        <v>0</v>
      </c>
      <c r="BU105" s="246">
        <v>0</v>
      </c>
      <c r="BV105" s="450">
        <v>0</v>
      </c>
      <c r="BW105" s="449">
        <v>0</v>
      </c>
      <c r="BX105" s="452">
        <v>0</v>
      </c>
      <c r="BY105" s="449">
        <v>0</v>
      </c>
      <c r="BZ105" s="451">
        <f t="shared" si="309"/>
        <v>0</v>
      </c>
      <c r="CA105" s="242">
        <f t="shared" si="310"/>
        <v>0</v>
      </c>
      <c r="CB105" s="453">
        <f t="shared" si="311"/>
        <v>0</v>
      </c>
      <c r="CC105" s="45">
        <f t="shared" si="50"/>
        <v>0</v>
      </c>
    </row>
    <row r="106" spans="2:81">
      <c r="B106" s="559"/>
      <c r="C106" s="239"/>
      <c r="D106" s="239"/>
      <c r="E106" s="252"/>
      <c r="F106" s="241">
        <f t="shared" si="283"/>
        <v>0</v>
      </c>
      <c r="G106" s="239"/>
      <c r="H106" s="239"/>
      <c r="I106" s="239"/>
      <c r="J106" s="239"/>
      <c r="K106" s="239"/>
      <c r="L106" s="239"/>
      <c r="M106" s="239"/>
      <c r="N106" s="239"/>
      <c r="O106" s="239"/>
      <c r="P106" s="239"/>
      <c r="Q106" s="239"/>
      <c r="R106" s="239"/>
      <c r="S106" s="242">
        <f t="shared" ref="S106:S107" si="486">SUM(G106:R106)</f>
        <v>0</v>
      </c>
      <c r="T106" s="243">
        <f t="shared" ref="T106:T107" si="487">COUNT(G106:R106)</f>
        <v>0</v>
      </c>
      <c r="U106" s="242">
        <f t="shared" ref="U106:U107" si="488">IF(T106&gt;1,AVERAGE(G106:R106),0)</f>
        <v>0</v>
      </c>
      <c r="V106" s="242">
        <f t="shared" ref="V106:V107" si="489">IF(T106&gt;1,STDEV(G106:R106),0)</f>
        <v>0</v>
      </c>
      <c r="W106" s="242">
        <f t="shared" si="288"/>
        <v>0</v>
      </c>
      <c r="X106" s="288"/>
      <c r="Y106" s="449">
        <f t="shared" si="289"/>
        <v>0</v>
      </c>
      <c r="Z106" s="248">
        <v>0</v>
      </c>
      <c r="AA106" s="246">
        <v>0</v>
      </c>
      <c r="AB106" s="450">
        <v>0</v>
      </c>
      <c r="AC106" s="449">
        <v>0</v>
      </c>
      <c r="AD106" s="451">
        <f t="shared" ref="AD106:AD107" si="490">($S106*Z106)/1000</f>
        <v>0</v>
      </c>
      <c r="AE106" s="451">
        <f t="shared" si="290"/>
        <v>0</v>
      </c>
      <c r="AF106" s="449">
        <f t="shared" ref="AF106:AF107" si="491">IF(AD106&gt;0,SQRT(($Y106*$Y106)+(AC106*AC106)),0)</f>
        <v>0</v>
      </c>
      <c r="AG106" s="449">
        <f t="shared" ref="AG106:AG107" si="492">IF(AE106&gt;0,SQRT(($Y106*$Y106)+(AD106*AD106)),0)</f>
        <v>0</v>
      </c>
      <c r="AH106" s="250">
        <v>0</v>
      </c>
      <c r="AI106" s="246">
        <v>0</v>
      </c>
      <c r="AJ106" s="450">
        <v>0</v>
      </c>
      <c r="AK106" s="449">
        <v>0</v>
      </c>
      <c r="AL106" s="452">
        <f t="shared" ref="AL106:AL107" si="493">($S106*AH106)/1000</f>
        <v>0</v>
      </c>
      <c r="AM106" s="452">
        <f t="shared" si="294"/>
        <v>0</v>
      </c>
      <c r="AN106" s="449">
        <f t="shared" ref="AN106:AN107" si="494">IF(AL106&gt;0,SQRT(($Y106*$Y106)+(AK106*AK106)),0)</f>
        <v>0</v>
      </c>
      <c r="AO106" s="449">
        <f t="shared" ref="AO106:AO107" si="495">IF(AM106&gt;0,SQRT(($Y106*$Y106)+(AL106*AL106)),0)</f>
        <v>0</v>
      </c>
      <c r="AP106" s="248">
        <f>VLOOKUP($E106,$CD$138:$DH$504,3,FALSE)</f>
        <v>0</v>
      </c>
      <c r="AQ106" s="246">
        <f>VLOOKUP($E106,$CD$138:$DH$504,4,FALSE)</f>
        <v>0</v>
      </c>
      <c r="AR106" s="450">
        <f>IF($S106&gt;0,VLOOKUP($E106,$CD$138:$DH$504,7,FALSE),0)</f>
        <v>0</v>
      </c>
      <c r="AS106" s="449">
        <f>IF($S106&gt;0,VLOOKUP($E106,$CD$138:$DH$504,6,FALSE),0)</f>
        <v>0</v>
      </c>
      <c r="AT106" s="451">
        <f t="shared" ref="AT106:AT107" si="496">($S106*AP106)/1000</f>
        <v>0</v>
      </c>
      <c r="AU106" s="452">
        <f t="shared" si="298"/>
        <v>0</v>
      </c>
      <c r="AV106" s="449">
        <f t="shared" ref="AV106:AV107" si="497">IF(AT106&gt;0,SQRT(($Y106*$Y106)+(AS106*AS106)),0)</f>
        <v>0</v>
      </c>
      <c r="AW106" s="451">
        <f t="shared" ref="AW106:AW107" si="498">(AU106*AV106)^2</f>
        <v>0</v>
      </c>
      <c r="AX106" s="248">
        <v>0</v>
      </c>
      <c r="AY106" s="246">
        <v>0</v>
      </c>
      <c r="AZ106" s="450">
        <v>0</v>
      </c>
      <c r="BA106" s="449">
        <v>0</v>
      </c>
      <c r="BB106" s="452">
        <v>0</v>
      </c>
      <c r="BC106" s="449">
        <f t="shared" ref="BC106:BC107" si="499">IF(BB106&gt;0,SQRT(($Y106*$Y106)+(BA106*BA106)),0)</f>
        <v>0</v>
      </c>
      <c r="BD106" s="451">
        <f t="shared" ref="BD106:BD107" si="500">(BB106*BC106)^2</f>
        <v>0</v>
      </c>
      <c r="BE106" s="248">
        <v>0</v>
      </c>
      <c r="BF106" s="246">
        <v>0</v>
      </c>
      <c r="BG106" s="450">
        <v>0</v>
      </c>
      <c r="BH106" s="449">
        <v>0</v>
      </c>
      <c r="BI106" s="452">
        <v>0</v>
      </c>
      <c r="BJ106" s="449">
        <f t="shared" si="303"/>
        <v>0</v>
      </c>
      <c r="BK106" s="451">
        <f t="shared" si="485"/>
        <v>0</v>
      </c>
      <c r="BL106" s="248">
        <v>0</v>
      </c>
      <c r="BM106" s="246">
        <v>0</v>
      </c>
      <c r="BN106" s="450">
        <v>0</v>
      </c>
      <c r="BO106" s="449">
        <v>0</v>
      </c>
      <c r="BP106" s="452">
        <f t="shared" ref="BP106:BP107" si="501">($S106*BL106)/1000</f>
        <v>0</v>
      </c>
      <c r="BQ106" s="452">
        <f t="shared" si="306"/>
        <v>0</v>
      </c>
      <c r="BR106" s="449">
        <f t="shared" ref="BR106:BR107" si="502">IF(BP106&gt;0,SQRT(($Y106*$Y106)+(BO106*BO106)),0)</f>
        <v>0</v>
      </c>
      <c r="BS106" s="451">
        <f t="shared" ref="BS106:BS107" si="503">(BQ106*BR106)^2</f>
        <v>0</v>
      </c>
      <c r="BT106" s="248">
        <v>0</v>
      </c>
      <c r="BU106" s="246">
        <v>0</v>
      </c>
      <c r="BV106" s="450">
        <v>0</v>
      </c>
      <c r="BW106" s="449">
        <v>0</v>
      </c>
      <c r="BX106" s="452">
        <v>0</v>
      </c>
      <c r="BY106" s="449">
        <v>0</v>
      </c>
      <c r="BZ106" s="451">
        <f t="shared" ref="BZ106:BZ107" si="504">(BX106*BY106)^2</f>
        <v>0</v>
      </c>
      <c r="CA106" s="242">
        <f t="shared" ref="CA106:CA107" si="505">IF(C106="EmisionesGEI",D106,AE106+AM106+AU106+BB106+BQ106)</f>
        <v>0</v>
      </c>
      <c r="CB106" s="453">
        <f t="shared" ref="CB106:CB107" si="506">IF(CA106&gt;0,SQRT(AG106+AO106+AW106+BD106+BS106)/CA106,0)</f>
        <v>0</v>
      </c>
      <c r="CC106" s="45">
        <f t="shared" ref="CC106:CC107" si="507">(CA106*CB106)^2</f>
        <v>0</v>
      </c>
    </row>
    <row r="107" spans="2:81">
      <c r="B107" s="559"/>
      <c r="C107" s="239"/>
      <c r="D107" s="239"/>
      <c r="E107" s="252"/>
      <c r="F107" s="241">
        <f t="shared" si="283"/>
        <v>0</v>
      </c>
      <c r="G107" s="239"/>
      <c r="H107" s="239"/>
      <c r="I107" s="239"/>
      <c r="J107" s="239"/>
      <c r="K107" s="239"/>
      <c r="L107" s="239"/>
      <c r="M107" s="239"/>
      <c r="N107" s="239"/>
      <c r="O107" s="239"/>
      <c r="P107" s="239"/>
      <c r="Q107" s="239"/>
      <c r="R107" s="239"/>
      <c r="S107" s="242">
        <f t="shared" si="486"/>
        <v>0</v>
      </c>
      <c r="T107" s="243">
        <f t="shared" si="487"/>
        <v>0</v>
      </c>
      <c r="U107" s="242">
        <f t="shared" si="488"/>
        <v>0</v>
      </c>
      <c r="V107" s="242">
        <f t="shared" si="489"/>
        <v>0</v>
      </c>
      <c r="W107" s="242">
        <f t="shared" si="288"/>
        <v>0</v>
      </c>
      <c r="X107" s="288"/>
      <c r="Y107" s="449">
        <f t="shared" si="289"/>
        <v>0</v>
      </c>
      <c r="Z107" s="248">
        <v>0</v>
      </c>
      <c r="AA107" s="246">
        <v>0</v>
      </c>
      <c r="AB107" s="450">
        <v>0</v>
      </c>
      <c r="AC107" s="449">
        <v>0</v>
      </c>
      <c r="AD107" s="451">
        <f t="shared" si="490"/>
        <v>0</v>
      </c>
      <c r="AE107" s="451">
        <f t="shared" si="290"/>
        <v>0</v>
      </c>
      <c r="AF107" s="449">
        <f t="shared" si="491"/>
        <v>0</v>
      </c>
      <c r="AG107" s="449">
        <f t="shared" si="492"/>
        <v>0</v>
      </c>
      <c r="AH107" s="250">
        <v>0</v>
      </c>
      <c r="AI107" s="246">
        <v>0</v>
      </c>
      <c r="AJ107" s="450">
        <v>0</v>
      </c>
      <c r="AK107" s="449">
        <v>0</v>
      </c>
      <c r="AL107" s="452">
        <f t="shared" si="493"/>
        <v>0</v>
      </c>
      <c r="AM107" s="452">
        <f t="shared" si="294"/>
        <v>0</v>
      </c>
      <c r="AN107" s="449">
        <f t="shared" si="494"/>
        <v>0</v>
      </c>
      <c r="AO107" s="449">
        <f t="shared" si="495"/>
        <v>0</v>
      </c>
      <c r="AP107" s="248">
        <f>VLOOKUP($E107,$CD$138:$DH$504,3,FALSE)</f>
        <v>0</v>
      </c>
      <c r="AQ107" s="246">
        <f>VLOOKUP($E107,$CD$138:$DH$504,4,FALSE)</f>
        <v>0</v>
      </c>
      <c r="AR107" s="450">
        <f>IF($S107&gt;0,VLOOKUP($E107,$CD$138:$DH$504,7,FALSE),0)</f>
        <v>0</v>
      </c>
      <c r="AS107" s="449">
        <f>IF($S107&gt;0,VLOOKUP($E107,$CD$138:$DH$504,6,FALSE),0)</f>
        <v>0</v>
      </c>
      <c r="AT107" s="451">
        <f t="shared" si="496"/>
        <v>0</v>
      </c>
      <c r="AU107" s="452">
        <f t="shared" si="298"/>
        <v>0</v>
      </c>
      <c r="AV107" s="449">
        <f t="shared" si="497"/>
        <v>0</v>
      </c>
      <c r="AW107" s="451">
        <f t="shared" si="498"/>
        <v>0</v>
      </c>
      <c r="AX107" s="248">
        <v>0</v>
      </c>
      <c r="AY107" s="246">
        <v>0</v>
      </c>
      <c r="AZ107" s="450">
        <v>0</v>
      </c>
      <c r="BA107" s="449">
        <v>0</v>
      </c>
      <c r="BB107" s="452">
        <v>0</v>
      </c>
      <c r="BC107" s="449">
        <f t="shared" si="499"/>
        <v>0</v>
      </c>
      <c r="BD107" s="451">
        <f t="shared" si="500"/>
        <v>0</v>
      </c>
      <c r="BE107" s="248">
        <v>0</v>
      </c>
      <c r="BF107" s="246">
        <v>0</v>
      </c>
      <c r="BG107" s="450">
        <v>0</v>
      </c>
      <c r="BH107" s="449">
        <v>0</v>
      </c>
      <c r="BI107" s="452">
        <v>0</v>
      </c>
      <c r="BJ107" s="449">
        <f t="shared" si="303"/>
        <v>0</v>
      </c>
      <c r="BK107" s="451">
        <f t="shared" si="485"/>
        <v>0</v>
      </c>
      <c r="BL107" s="248">
        <v>0</v>
      </c>
      <c r="BM107" s="246">
        <v>0</v>
      </c>
      <c r="BN107" s="450">
        <v>0</v>
      </c>
      <c r="BO107" s="449">
        <v>0</v>
      </c>
      <c r="BP107" s="452">
        <f t="shared" si="501"/>
        <v>0</v>
      </c>
      <c r="BQ107" s="452">
        <f t="shared" si="306"/>
        <v>0</v>
      </c>
      <c r="BR107" s="449">
        <f t="shared" si="502"/>
        <v>0</v>
      </c>
      <c r="BS107" s="451">
        <f t="shared" si="503"/>
        <v>0</v>
      </c>
      <c r="BT107" s="248">
        <v>0</v>
      </c>
      <c r="BU107" s="246">
        <v>0</v>
      </c>
      <c r="BV107" s="450">
        <v>0</v>
      </c>
      <c r="BW107" s="449">
        <v>0</v>
      </c>
      <c r="BX107" s="452">
        <v>0</v>
      </c>
      <c r="BY107" s="449">
        <v>0</v>
      </c>
      <c r="BZ107" s="451">
        <f t="shared" si="504"/>
        <v>0</v>
      </c>
      <c r="CA107" s="242">
        <f t="shared" si="505"/>
        <v>0</v>
      </c>
      <c r="CB107" s="453">
        <f t="shared" si="506"/>
        <v>0</v>
      </c>
      <c r="CC107" s="45">
        <f t="shared" si="507"/>
        <v>0</v>
      </c>
    </row>
    <row r="108" spans="2:81">
      <c r="B108" s="559"/>
      <c r="C108" s="239"/>
      <c r="D108" s="239"/>
      <c r="E108" s="252"/>
      <c r="F108" s="241">
        <f t="shared" si="283"/>
        <v>0</v>
      </c>
      <c r="G108" s="239"/>
      <c r="H108" s="239"/>
      <c r="I108" s="239"/>
      <c r="J108" s="239"/>
      <c r="K108" s="239"/>
      <c r="L108" s="239"/>
      <c r="M108" s="239"/>
      <c r="N108" s="239"/>
      <c r="O108" s="239"/>
      <c r="P108" s="239"/>
      <c r="Q108" s="239"/>
      <c r="R108" s="239"/>
      <c r="S108" s="242">
        <f t="shared" si="452"/>
        <v>0</v>
      </c>
      <c r="T108" s="243">
        <f t="shared" si="453"/>
        <v>0</v>
      </c>
      <c r="U108" s="242">
        <f t="shared" si="454"/>
        <v>0</v>
      </c>
      <c r="V108" s="242">
        <f t="shared" si="455"/>
        <v>0</v>
      </c>
      <c r="W108" s="242">
        <f t="shared" si="288"/>
        <v>0</v>
      </c>
      <c r="X108" s="288"/>
      <c r="Y108" s="449">
        <f t="shared" si="289"/>
        <v>0</v>
      </c>
      <c r="Z108" s="248">
        <v>0</v>
      </c>
      <c r="AA108" s="246">
        <v>0</v>
      </c>
      <c r="AB108" s="450">
        <v>0</v>
      </c>
      <c r="AC108" s="449">
        <v>0</v>
      </c>
      <c r="AD108" s="451">
        <f t="shared" si="333"/>
        <v>0</v>
      </c>
      <c r="AE108" s="451">
        <f t="shared" si="290"/>
        <v>0</v>
      </c>
      <c r="AF108" s="449">
        <f t="shared" si="456"/>
        <v>0</v>
      </c>
      <c r="AG108" s="449">
        <f t="shared" si="457"/>
        <v>0</v>
      </c>
      <c r="AH108" s="250">
        <v>0</v>
      </c>
      <c r="AI108" s="246">
        <v>0</v>
      </c>
      <c r="AJ108" s="450">
        <v>0</v>
      </c>
      <c r="AK108" s="449">
        <v>0</v>
      </c>
      <c r="AL108" s="452">
        <f t="shared" si="458"/>
        <v>0</v>
      </c>
      <c r="AM108" s="452">
        <f t="shared" si="294"/>
        <v>0</v>
      </c>
      <c r="AN108" s="449">
        <f t="shared" si="459"/>
        <v>0</v>
      </c>
      <c r="AO108" s="449">
        <f t="shared" si="460"/>
        <v>0</v>
      </c>
      <c r="AP108" s="248">
        <f>VLOOKUP($E108,$CD$138:$DH$504,3,FALSE)</f>
        <v>0</v>
      </c>
      <c r="AQ108" s="246">
        <f>VLOOKUP($E108,$CD$138:$DH$504,4,FALSE)</f>
        <v>0</v>
      </c>
      <c r="AR108" s="450">
        <f>IF($S108&gt;0,VLOOKUP($E108,$CD$138:$DH$504,7,FALSE),0)</f>
        <v>0</v>
      </c>
      <c r="AS108" s="449">
        <f>IF($S108&gt;0,VLOOKUP($E108,$CD$138:$DH$504,6,FALSE),0)</f>
        <v>0</v>
      </c>
      <c r="AT108" s="451">
        <f t="shared" si="461"/>
        <v>0</v>
      </c>
      <c r="AU108" s="452">
        <f t="shared" si="298"/>
        <v>0</v>
      </c>
      <c r="AV108" s="449">
        <f t="shared" si="462"/>
        <v>0</v>
      </c>
      <c r="AW108" s="451">
        <f t="shared" si="463"/>
        <v>0</v>
      </c>
      <c r="AX108" s="248">
        <v>0</v>
      </c>
      <c r="AY108" s="246">
        <v>0</v>
      </c>
      <c r="AZ108" s="450">
        <v>0</v>
      </c>
      <c r="BA108" s="449">
        <v>0</v>
      </c>
      <c r="BB108" s="452">
        <v>0</v>
      </c>
      <c r="BC108" s="449">
        <f t="shared" si="464"/>
        <v>0</v>
      </c>
      <c r="BD108" s="451">
        <f t="shared" si="465"/>
        <v>0</v>
      </c>
      <c r="BE108" s="248">
        <v>0</v>
      </c>
      <c r="BF108" s="246">
        <v>0</v>
      </c>
      <c r="BG108" s="450">
        <v>0</v>
      </c>
      <c r="BH108" s="449">
        <v>0</v>
      </c>
      <c r="BI108" s="452">
        <v>0</v>
      </c>
      <c r="BJ108" s="449">
        <f t="shared" si="303"/>
        <v>0</v>
      </c>
      <c r="BK108" s="451">
        <f t="shared" si="485"/>
        <v>0</v>
      </c>
      <c r="BL108" s="248">
        <v>0</v>
      </c>
      <c r="BM108" s="246">
        <v>0</v>
      </c>
      <c r="BN108" s="450">
        <v>0</v>
      </c>
      <c r="BO108" s="449">
        <v>0</v>
      </c>
      <c r="BP108" s="452">
        <f t="shared" si="466"/>
        <v>0</v>
      </c>
      <c r="BQ108" s="452">
        <f t="shared" si="306"/>
        <v>0</v>
      </c>
      <c r="BR108" s="449">
        <f t="shared" si="467"/>
        <v>0</v>
      </c>
      <c r="BS108" s="451">
        <f t="shared" si="468"/>
        <v>0</v>
      </c>
      <c r="BT108" s="248">
        <v>0</v>
      </c>
      <c r="BU108" s="246">
        <v>0</v>
      </c>
      <c r="BV108" s="450">
        <v>0</v>
      </c>
      <c r="BW108" s="449">
        <v>0</v>
      </c>
      <c r="BX108" s="452">
        <v>0</v>
      </c>
      <c r="BY108" s="449">
        <v>0</v>
      </c>
      <c r="BZ108" s="451">
        <f t="shared" si="309"/>
        <v>0</v>
      </c>
      <c r="CA108" s="242">
        <f t="shared" si="310"/>
        <v>0</v>
      </c>
      <c r="CB108" s="453">
        <f t="shared" si="311"/>
        <v>0</v>
      </c>
      <c r="CC108" s="45">
        <f t="shared" si="50"/>
        <v>0</v>
      </c>
    </row>
    <row r="109" spans="2:81">
      <c r="B109" s="558"/>
      <c r="C109" s="239"/>
      <c r="D109" s="239"/>
      <c r="E109" s="252"/>
      <c r="F109" s="241">
        <f t="shared" si="283"/>
        <v>0</v>
      </c>
      <c r="G109" s="239"/>
      <c r="H109" s="239"/>
      <c r="I109" s="239"/>
      <c r="J109" s="239"/>
      <c r="K109" s="239"/>
      <c r="L109" s="239"/>
      <c r="M109" s="239"/>
      <c r="N109" s="239"/>
      <c r="O109" s="239"/>
      <c r="P109" s="239"/>
      <c r="Q109" s="239"/>
      <c r="R109" s="239"/>
      <c r="S109" s="242">
        <f t="shared" si="452"/>
        <v>0</v>
      </c>
      <c r="T109" s="243">
        <f t="shared" si="453"/>
        <v>0</v>
      </c>
      <c r="U109" s="242">
        <f t="shared" si="454"/>
        <v>0</v>
      </c>
      <c r="V109" s="242">
        <f t="shared" si="455"/>
        <v>0</v>
      </c>
      <c r="W109" s="242">
        <f t="shared" si="288"/>
        <v>0</v>
      </c>
      <c r="X109" s="288"/>
      <c r="Y109" s="449">
        <f t="shared" si="289"/>
        <v>0</v>
      </c>
      <c r="Z109" s="248">
        <v>0</v>
      </c>
      <c r="AA109" s="246">
        <v>0</v>
      </c>
      <c r="AB109" s="450">
        <v>0</v>
      </c>
      <c r="AC109" s="449">
        <v>0</v>
      </c>
      <c r="AD109" s="451">
        <f t="shared" si="333"/>
        <v>0</v>
      </c>
      <c r="AE109" s="451">
        <f t="shared" si="290"/>
        <v>0</v>
      </c>
      <c r="AF109" s="449">
        <f t="shared" si="456"/>
        <v>0</v>
      </c>
      <c r="AG109" s="449">
        <f t="shared" si="457"/>
        <v>0</v>
      </c>
      <c r="AH109" s="250">
        <v>0</v>
      </c>
      <c r="AI109" s="246">
        <v>0</v>
      </c>
      <c r="AJ109" s="450">
        <v>0</v>
      </c>
      <c r="AK109" s="449">
        <v>0</v>
      </c>
      <c r="AL109" s="452">
        <f t="shared" si="458"/>
        <v>0</v>
      </c>
      <c r="AM109" s="452">
        <f t="shared" si="294"/>
        <v>0</v>
      </c>
      <c r="AN109" s="449">
        <f t="shared" si="459"/>
        <v>0</v>
      </c>
      <c r="AO109" s="449">
        <f t="shared" si="460"/>
        <v>0</v>
      </c>
      <c r="AP109" s="248">
        <f>VLOOKUP($E109,$CD$138:$DH$504,3,FALSE)</f>
        <v>0</v>
      </c>
      <c r="AQ109" s="246">
        <f>VLOOKUP($E109,$CD$138:$DH$504,4,FALSE)</f>
        <v>0</v>
      </c>
      <c r="AR109" s="450">
        <f>IF($S109&gt;0,VLOOKUP($E109,$CD$138:$DH$504,7,FALSE),0)</f>
        <v>0</v>
      </c>
      <c r="AS109" s="449">
        <f>IF($S109&gt;0,VLOOKUP($E109,$CD$138:$DH$504,6,FALSE),0)</f>
        <v>0</v>
      </c>
      <c r="AT109" s="451">
        <f t="shared" si="461"/>
        <v>0</v>
      </c>
      <c r="AU109" s="452">
        <f t="shared" si="298"/>
        <v>0</v>
      </c>
      <c r="AV109" s="449">
        <f t="shared" si="462"/>
        <v>0</v>
      </c>
      <c r="AW109" s="451">
        <f t="shared" si="463"/>
        <v>0</v>
      </c>
      <c r="AX109" s="248">
        <v>0</v>
      </c>
      <c r="AY109" s="246">
        <v>0</v>
      </c>
      <c r="AZ109" s="450">
        <v>0</v>
      </c>
      <c r="BA109" s="449">
        <v>0</v>
      </c>
      <c r="BB109" s="452">
        <v>0</v>
      </c>
      <c r="BC109" s="449">
        <f t="shared" si="464"/>
        <v>0</v>
      </c>
      <c r="BD109" s="451">
        <f t="shared" si="465"/>
        <v>0</v>
      </c>
      <c r="BE109" s="248">
        <v>0</v>
      </c>
      <c r="BF109" s="246">
        <v>0</v>
      </c>
      <c r="BG109" s="450">
        <v>0</v>
      </c>
      <c r="BH109" s="449">
        <v>0</v>
      </c>
      <c r="BI109" s="452">
        <v>0</v>
      </c>
      <c r="BJ109" s="449">
        <f t="shared" si="303"/>
        <v>0</v>
      </c>
      <c r="BK109" s="451">
        <f t="shared" si="485"/>
        <v>0</v>
      </c>
      <c r="BL109" s="248">
        <v>0</v>
      </c>
      <c r="BM109" s="246">
        <v>0</v>
      </c>
      <c r="BN109" s="450">
        <v>0</v>
      </c>
      <c r="BO109" s="449">
        <v>0</v>
      </c>
      <c r="BP109" s="452">
        <f t="shared" si="466"/>
        <v>0</v>
      </c>
      <c r="BQ109" s="452">
        <f t="shared" si="306"/>
        <v>0</v>
      </c>
      <c r="BR109" s="449">
        <f t="shared" si="467"/>
        <v>0</v>
      </c>
      <c r="BS109" s="451">
        <f t="shared" si="468"/>
        <v>0</v>
      </c>
      <c r="BT109" s="248">
        <v>0</v>
      </c>
      <c r="BU109" s="246">
        <v>0</v>
      </c>
      <c r="BV109" s="450">
        <v>0</v>
      </c>
      <c r="BW109" s="449">
        <v>0</v>
      </c>
      <c r="BX109" s="452">
        <v>0</v>
      </c>
      <c r="BY109" s="449">
        <v>0</v>
      </c>
      <c r="BZ109" s="451">
        <f t="shared" si="309"/>
        <v>0</v>
      </c>
      <c r="CA109" s="242">
        <f t="shared" si="310"/>
        <v>0</v>
      </c>
      <c r="CB109" s="453">
        <f t="shared" si="311"/>
        <v>0</v>
      </c>
      <c r="CC109" s="45">
        <f t="shared" si="50"/>
        <v>0</v>
      </c>
    </row>
    <row r="110" spans="2:81">
      <c r="B110" s="289" t="s">
        <v>270</v>
      </c>
      <c r="C110" s="239"/>
      <c r="D110" s="239"/>
      <c r="E110" s="252"/>
      <c r="F110" s="241">
        <f t="shared" si="283"/>
        <v>0</v>
      </c>
      <c r="G110" s="239"/>
      <c r="H110" s="239"/>
      <c r="I110" s="239"/>
      <c r="J110" s="239"/>
      <c r="K110" s="239"/>
      <c r="L110" s="239"/>
      <c r="M110" s="239"/>
      <c r="N110" s="239"/>
      <c r="O110" s="239"/>
      <c r="P110" s="239"/>
      <c r="Q110" s="239"/>
      <c r="R110" s="239"/>
      <c r="S110" s="242">
        <f t="shared" si="452"/>
        <v>0</v>
      </c>
      <c r="T110" s="243">
        <f t="shared" si="453"/>
        <v>0</v>
      </c>
      <c r="U110" s="242">
        <f t="shared" si="454"/>
        <v>0</v>
      </c>
      <c r="V110" s="242">
        <f t="shared" si="455"/>
        <v>0</v>
      </c>
      <c r="W110" s="242">
        <f t="shared" si="288"/>
        <v>0</v>
      </c>
      <c r="X110" s="288"/>
      <c r="Y110" s="449">
        <f t="shared" si="289"/>
        <v>0</v>
      </c>
      <c r="Z110" s="248">
        <f>VLOOKUP($E110,$CD$138:$DH$504,3,FALSE)</f>
        <v>0</v>
      </c>
      <c r="AA110" s="246">
        <f>VLOOKUP($E110,$CD$138:$DH$504,4,FALSE)</f>
        <v>0</v>
      </c>
      <c r="AB110" s="450">
        <f>IF($S110&gt;0,VLOOKUP($E110,$CD$138:$DH$504,7,FALSE),0)</f>
        <v>0</v>
      </c>
      <c r="AC110" s="449">
        <f>IF($S110&gt;0,VLOOKUP($E110,$CD$138:$DH$504,6,FALSE),0)</f>
        <v>0</v>
      </c>
      <c r="AD110" s="451">
        <f t="shared" si="333"/>
        <v>0</v>
      </c>
      <c r="AE110" s="451">
        <f t="shared" si="290"/>
        <v>0</v>
      </c>
      <c r="AF110" s="449">
        <f t="shared" si="456"/>
        <v>0</v>
      </c>
      <c r="AG110" s="449">
        <f t="shared" si="457"/>
        <v>0</v>
      </c>
      <c r="AH110" s="250">
        <v>0</v>
      </c>
      <c r="AI110" s="246">
        <v>0</v>
      </c>
      <c r="AJ110" s="450">
        <v>0</v>
      </c>
      <c r="AK110" s="449">
        <v>0</v>
      </c>
      <c r="AL110" s="452">
        <f t="shared" si="458"/>
        <v>0</v>
      </c>
      <c r="AM110" s="452">
        <f t="shared" si="294"/>
        <v>0</v>
      </c>
      <c r="AN110" s="449">
        <f t="shared" si="459"/>
        <v>0</v>
      </c>
      <c r="AO110" s="449">
        <f t="shared" si="460"/>
        <v>0</v>
      </c>
      <c r="AP110" s="248">
        <v>0</v>
      </c>
      <c r="AQ110" s="246">
        <v>0</v>
      </c>
      <c r="AR110" s="450">
        <v>0</v>
      </c>
      <c r="AS110" s="449">
        <v>0</v>
      </c>
      <c r="AT110" s="451">
        <f t="shared" si="461"/>
        <v>0</v>
      </c>
      <c r="AU110" s="452">
        <f t="shared" si="298"/>
        <v>0</v>
      </c>
      <c r="AV110" s="449">
        <f t="shared" si="462"/>
        <v>0</v>
      </c>
      <c r="AW110" s="451">
        <f t="shared" si="463"/>
        <v>0</v>
      </c>
      <c r="AX110" s="248">
        <v>0</v>
      </c>
      <c r="AY110" s="246">
        <v>0</v>
      </c>
      <c r="AZ110" s="450">
        <v>0</v>
      </c>
      <c r="BA110" s="449">
        <v>0</v>
      </c>
      <c r="BB110" s="452">
        <v>0</v>
      </c>
      <c r="BC110" s="449">
        <f t="shared" si="464"/>
        <v>0</v>
      </c>
      <c r="BD110" s="451">
        <f t="shared" si="465"/>
        <v>0</v>
      </c>
      <c r="BE110" s="248">
        <v>0</v>
      </c>
      <c r="BF110" s="246">
        <v>0</v>
      </c>
      <c r="BG110" s="450">
        <v>0</v>
      </c>
      <c r="BH110" s="449">
        <v>0</v>
      </c>
      <c r="BI110" s="452">
        <v>0</v>
      </c>
      <c r="BJ110" s="449">
        <f t="shared" si="303"/>
        <v>0</v>
      </c>
      <c r="BK110" s="451">
        <f t="shared" si="485"/>
        <v>0</v>
      </c>
      <c r="BL110" s="248">
        <v>0</v>
      </c>
      <c r="BM110" s="246">
        <v>0</v>
      </c>
      <c r="BN110" s="450">
        <v>0</v>
      </c>
      <c r="BO110" s="449">
        <v>0</v>
      </c>
      <c r="BP110" s="452">
        <f t="shared" si="466"/>
        <v>0</v>
      </c>
      <c r="BQ110" s="452">
        <f t="shared" si="306"/>
        <v>0</v>
      </c>
      <c r="BR110" s="449">
        <f t="shared" si="467"/>
        <v>0</v>
      </c>
      <c r="BS110" s="451">
        <f t="shared" si="468"/>
        <v>0</v>
      </c>
      <c r="BT110" s="248">
        <v>0</v>
      </c>
      <c r="BU110" s="246">
        <v>0</v>
      </c>
      <c r="BV110" s="450">
        <v>0</v>
      </c>
      <c r="BW110" s="449">
        <v>0</v>
      </c>
      <c r="BX110" s="452">
        <v>0</v>
      </c>
      <c r="BY110" s="449">
        <v>0</v>
      </c>
      <c r="BZ110" s="451">
        <f t="shared" si="309"/>
        <v>0</v>
      </c>
      <c r="CA110" s="242">
        <f t="shared" si="310"/>
        <v>0</v>
      </c>
      <c r="CB110" s="453">
        <f t="shared" si="311"/>
        <v>0</v>
      </c>
      <c r="CC110" s="45">
        <f t="shared" si="50"/>
        <v>0</v>
      </c>
    </row>
    <row r="111" spans="2:81">
      <c r="B111" s="238" t="s">
        <v>271</v>
      </c>
      <c r="C111" s="239"/>
      <c r="D111" s="239"/>
      <c r="E111" s="240"/>
      <c r="F111" s="241">
        <f t="shared" si="283"/>
        <v>0</v>
      </c>
      <c r="G111" s="239"/>
      <c r="H111" s="239"/>
      <c r="I111" s="239"/>
      <c r="J111" s="239"/>
      <c r="K111" s="239"/>
      <c r="L111" s="239"/>
      <c r="M111" s="239"/>
      <c r="N111" s="239"/>
      <c r="O111" s="239"/>
      <c r="P111" s="239"/>
      <c r="Q111" s="239"/>
      <c r="R111" s="239"/>
      <c r="S111" s="242">
        <f t="shared" si="452"/>
        <v>0</v>
      </c>
      <c r="T111" s="243">
        <f t="shared" si="453"/>
        <v>0</v>
      </c>
      <c r="U111" s="242">
        <f t="shared" si="454"/>
        <v>0</v>
      </c>
      <c r="V111" s="242">
        <f t="shared" si="455"/>
        <v>0</v>
      </c>
      <c r="W111" s="242">
        <f t="shared" si="288"/>
        <v>0</v>
      </c>
      <c r="X111" s="244"/>
      <c r="Y111" s="449">
        <f t="shared" si="289"/>
        <v>0</v>
      </c>
      <c r="Z111" s="248">
        <v>0</v>
      </c>
      <c r="AA111" s="246">
        <v>0</v>
      </c>
      <c r="AB111" s="450">
        <v>0</v>
      </c>
      <c r="AC111" s="449">
        <v>0</v>
      </c>
      <c r="AD111" s="451">
        <f t="shared" si="333"/>
        <v>0</v>
      </c>
      <c r="AE111" s="451">
        <f t="shared" si="290"/>
        <v>0</v>
      </c>
      <c r="AF111" s="449">
        <f t="shared" si="456"/>
        <v>0</v>
      </c>
      <c r="AG111" s="449">
        <f t="shared" si="457"/>
        <v>0</v>
      </c>
      <c r="AH111" s="250">
        <f>VLOOKUP($E111,$CD$138:$DH$504,3,FALSE)</f>
        <v>0</v>
      </c>
      <c r="AI111" s="246">
        <f>VLOOKUP($E111,$CD$138:$DH$504,4,FALSE)</f>
        <v>0</v>
      </c>
      <c r="AJ111" s="450">
        <f>IF($S111&gt;0,VLOOKUP($E111,$CD$138:$DH$504,7,FALSE),0)</f>
        <v>0</v>
      </c>
      <c r="AK111" s="449">
        <f>IF($S111&gt;0,VLOOKUP($E111,$CD$138:$DH$504,6,FALSE),0)</f>
        <v>0</v>
      </c>
      <c r="AL111" s="451">
        <f t="shared" si="458"/>
        <v>0</v>
      </c>
      <c r="AM111" s="452">
        <f t="shared" si="294"/>
        <v>0</v>
      </c>
      <c r="AN111" s="449">
        <f t="shared" si="459"/>
        <v>0</v>
      </c>
      <c r="AO111" s="451">
        <f t="shared" ref="AO111" si="508">(AM111*AN111)^2</f>
        <v>0</v>
      </c>
      <c r="AP111" s="250">
        <v>0</v>
      </c>
      <c r="AQ111" s="246">
        <v>0</v>
      </c>
      <c r="AR111" s="450">
        <v>0</v>
      </c>
      <c r="AS111" s="449">
        <v>0</v>
      </c>
      <c r="AT111" s="452">
        <f t="shared" si="461"/>
        <v>0</v>
      </c>
      <c r="AU111" s="452">
        <f t="shared" si="298"/>
        <v>0</v>
      </c>
      <c r="AV111" s="449">
        <f t="shared" si="462"/>
        <v>0</v>
      </c>
      <c r="AW111" s="449">
        <f t="shared" ref="AW111" si="509">IF(AU111&gt;0,SQRT(($Y111*$Y111)+(AT111*AT111)),0)</f>
        <v>0</v>
      </c>
      <c r="AX111" s="248">
        <v>0</v>
      </c>
      <c r="AY111" s="246">
        <v>0</v>
      </c>
      <c r="AZ111" s="450">
        <v>0</v>
      </c>
      <c r="BA111" s="449">
        <v>0</v>
      </c>
      <c r="BB111" s="452">
        <v>0</v>
      </c>
      <c r="BC111" s="449">
        <f t="shared" si="464"/>
        <v>0</v>
      </c>
      <c r="BD111" s="451">
        <f t="shared" si="465"/>
        <v>0</v>
      </c>
      <c r="BE111" s="248">
        <v>0</v>
      </c>
      <c r="BF111" s="246">
        <v>0</v>
      </c>
      <c r="BG111" s="450">
        <v>0</v>
      </c>
      <c r="BH111" s="449">
        <v>0</v>
      </c>
      <c r="BI111" s="452">
        <v>0</v>
      </c>
      <c r="BJ111" s="449">
        <f t="shared" si="303"/>
        <v>0</v>
      </c>
      <c r="BK111" s="451">
        <f t="shared" si="485"/>
        <v>0</v>
      </c>
      <c r="BL111" s="248">
        <v>0</v>
      </c>
      <c r="BM111" s="246">
        <v>0</v>
      </c>
      <c r="BN111" s="450">
        <v>0</v>
      </c>
      <c r="BO111" s="449">
        <v>0</v>
      </c>
      <c r="BP111" s="452">
        <f t="shared" si="466"/>
        <v>0</v>
      </c>
      <c r="BQ111" s="452">
        <f t="shared" si="306"/>
        <v>0</v>
      </c>
      <c r="BR111" s="449">
        <f t="shared" si="467"/>
        <v>0</v>
      </c>
      <c r="BS111" s="451">
        <f t="shared" si="468"/>
        <v>0</v>
      </c>
      <c r="BT111" s="248">
        <v>0</v>
      </c>
      <c r="BU111" s="246">
        <v>0</v>
      </c>
      <c r="BV111" s="450">
        <v>0</v>
      </c>
      <c r="BW111" s="449">
        <v>0</v>
      </c>
      <c r="BX111" s="452">
        <v>0</v>
      </c>
      <c r="BY111" s="449">
        <v>0</v>
      </c>
      <c r="BZ111" s="451">
        <f t="shared" si="309"/>
        <v>0</v>
      </c>
      <c r="CA111" s="242">
        <f t="shared" si="310"/>
        <v>0</v>
      </c>
      <c r="CB111" s="453">
        <f t="shared" si="311"/>
        <v>0</v>
      </c>
      <c r="CC111" s="45">
        <f t="shared" ref="CC111" si="510">(CA111*CB111)^2</f>
        <v>0</v>
      </c>
    </row>
    <row r="112" spans="2:81" ht="27.75">
      <c r="B112" s="289" t="s">
        <v>272</v>
      </c>
      <c r="C112" s="239"/>
      <c r="D112" s="239"/>
      <c r="E112" s="444"/>
      <c r="F112" s="474"/>
      <c r="G112" s="474"/>
      <c r="H112" s="474"/>
      <c r="I112" s="474"/>
      <c r="J112" s="474"/>
      <c r="K112" s="474"/>
      <c r="L112" s="474"/>
      <c r="M112" s="474"/>
      <c r="N112" s="474"/>
      <c r="O112" s="474"/>
      <c r="P112" s="474"/>
      <c r="Q112" s="474"/>
      <c r="R112" s="474"/>
      <c r="S112" s="242">
        <f t="shared" si="452"/>
        <v>0</v>
      </c>
      <c r="T112" s="243">
        <f t="shared" si="453"/>
        <v>0</v>
      </c>
      <c r="U112" s="242">
        <f t="shared" si="454"/>
        <v>0</v>
      </c>
      <c r="V112" s="242">
        <f t="shared" si="455"/>
        <v>0</v>
      </c>
      <c r="W112" s="242">
        <f t="shared" si="288"/>
        <v>0</v>
      </c>
      <c r="X112" s="288"/>
      <c r="Y112" s="449">
        <f t="shared" si="289"/>
        <v>0</v>
      </c>
      <c r="Z112" s="248">
        <f>VLOOKUP($E112,$CD$138:$DH$504,3,FALSE)</f>
        <v>0</v>
      </c>
      <c r="AA112" s="246">
        <f>VLOOKUP($E112,$CD$138:$DH$504,4,FALSE)</f>
        <v>0</v>
      </c>
      <c r="AB112" s="450">
        <f>IF($S112&gt;0,VLOOKUP($E112,$CD$138:$DH$504,7,FALSE),0)</f>
        <v>0</v>
      </c>
      <c r="AC112" s="449">
        <f>IF($S112&gt;0,VLOOKUP($E112,$CD$138:$DH$504,6,FALSE),0)</f>
        <v>0</v>
      </c>
      <c r="AD112" s="451">
        <f t="shared" si="333"/>
        <v>0</v>
      </c>
      <c r="AE112" s="451">
        <f t="shared" si="290"/>
        <v>0</v>
      </c>
      <c r="AF112" s="449">
        <f t="shared" si="456"/>
        <v>0</v>
      </c>
      <c r="AG112" s="449">
        <f t="shared" si="457"/>
        <v>0</v>
      </c>
      <c r="AH112" s="250">
        <v>0</v>
      </c>
      <c r="AI112" s="246">
        <v>0</v>
      </c>
      <c r="AJ112" s="450">
        <v>0</v>
      </c>
      <c r="AK112" s="449">
        <v>0</v>
      </c>
      <c r="AL112" s="452">
        <f t="shared" si="458"/>
        <v>0</v>
      </c>
      <c r="AM112" s="452">
        <f t="shared" si="294"/>
        <v>0</v>
      </c>
      <c r="AN112" s="449">
        <f t="shared" si="459"/>
        <v>0</v>
      </c>
      <c r="AO112" s="449">
        <f t="shared" si="460"/>
        <v>0</v>
      </c>
      <c r="AP112" s="248">
        <v>0</v>
      </c>
      <c r="AQ112" s="246">
        <v>0</v>
      </c>
      <c r="AR112" s="450">
        <v>0</v>
      </c>
      <c r="AS112" s="449">
        <v>0</v>
      </c>
      <c r="AT112" s="451">
        <f t="shared" si="461"/>
        <v>0</v>
      </c>
      <c r="AU112" s="452">
        <f t="shared" si="298"/>
        <v>0</v>
      </c>
      <c r="AV112" s="449">
        <f t="shared" si="462"/>
        <v>0</v>
      </c>
      <c r="AW112" s="451">
        <f t="shared" si="463"/>
        <v>0</v>
      </c>
      <c r="AX112" s="248">
        <v>0</v>
      </c>
      <c r="AY112" s="246">
        <v>0</v>
      </c>
      <c r="AZ112" s="450">
        <v>0</v>
      </c>
      <c r="BA112" s="449">
        <v>0</v>
      </c>
      <c r="BB112" s="452">
        <v>0</v>
      </c>
      <c r="BC112" s="449">
        <f t="shared" si="464"/>
        <v>0</v>
      </c>
      <c r="BD112" s="451">
        <f t="shared" si="465"/>
        <v>0</v>
      </c>
      <c r="BE112" s="248">
        <v>0</v>
      </c>
      <c r="BF112" s="246">
        <v>0</v>
      </c>
      <c r="BG112" s="450">
        <v>0</v>
      </c>
      <c r="BH112" s="449">
        <v>0</v>
      </c>
      <c r="BI112" s="452">
        <v>0</v>
      </c>
      <c r="BJ112" s="449">
        <f t="shared" si="303"/>
        <v>0</v>
      </c>
      <c r="BK112" s="451">
        <f t="shared" si="485"/>
        <v>0</v>
      </c>
      <c r="BL112" s="248">
        <v>0</v>
      </c>
      <c r="BM112" s="246">
        <v>0</v>
      </c>
      <c r="BN112" s="450">
        <v>0</v>
      </c>
      <c r="BO112" s="449">
        <v>0</v>
      </c>
      <c r="BP112" s="452">
        <f t="shared" si="466"/>
        <v>0</v>
      </c>
      <c r="BQ112" s="452">
        <f t="shared" si="306"/>
        <v>0</v>
      </c>
      <c r="BR112" s="449">
        <f t="shared" si="467"/>
        <v>0</v>
      </c>
      <c r="BS112" s="451">
        <f t="shared" si="468"/>
        <v>0</v>
      </c>
      <c r="BT112" s="248">
        <v>0</v>
      </c>
      <c r="BU112" s="246">
        <v>0</v>
      </c>
      <c r="BV112" s="450">
        <v>0</v>
      </c>
      <c r="BW112" s="449">
        <v>0</v>
      </c>
      <c r="BX112" s="452">
        <v>0</v>
      </c>
      <c r="BY112" s="449">
        <v>0</v>
      </c>
      <c r="BZ112" s="451">
        <f t="shared" si="309"/>
        <v>0</v>
      </c>
      <c r="CA112" s="242">
        <f t="shared" si="310"/>
        <v>0</v>
      </c>
      <c r="CB112" s="453">
        <f t="shared" si="311"/>
        <v>0</v>
      </c>
      <c r="CC112" s="45">
        <f t="shared" si="50"/>
        <v>0</v>
      </c>
    </row>
    <row r="113" spans="1:155" ht="15.75" customHeight="1">
      <c r="B113" s="253" t="s">
        <v>273</v>
      </c>
      <c r="C113" s="254"/>
      <c r="D113" s="254"/>
      <c r="E113" s="255"/>
      <c r="F113" s="255"/>
      <c r="G113" s="255"/>
      <c r="H113" s="255"/>
      <c r="I113" s="255"/>
      <c r="J113" s="255"/>
      <c r="K113" s="255"/>
      <c r="L113" s="255"/>
      <c r="M113" s="255"/>
      <c r="N113" s="255"/>
      <c r="O113" s="255"/>
      <c r="P113" s="255"/>
      <c r="Q113" s="255"/>
      <c r="R113" s="255"/>
      <c r="S113" s="255"/>
      <c r="T113" s="255"/>
      <c r="U113" s="255"/>
      <c r="V113" s="255"/>
      <c r="W113" s="255"/>
      <c r="X113" s="257"/>
      <c r="Y113" s="255"/>
      <c r="Z113" s="255"/>
      <c r="AA113" s="255"/>
      <c r="AB113" s="258"/>
      <c r="AC113" s="255"/>
      <c r="AD113" s="259"/>
      <c r="AE113" s="260">
        <f>SUM(AE82:AE112)</f>
        <v>0</v>
      </c>
      <c r="AF113" s="261">
        <f>IF(AE113&gt;0,SQRT(SUM(AG82:AG112))/AE113,0)</f>
        <v>0</v>
      </c>
      <c r="AG113" s="260">
        <f>(AE113*AF113)^2</f>
        <v>0</v>
      </c>
      <c r="AH113" s="262"/>
      <c r="AI113" s="255"/>
      <c r="AJ113" s="263"/>
      <c r="AK113" s="255"/>
      <c r="AL113" s="264"/>
      <c r="AM113" s="260">
        <f>SUM(AM82:AM112)</f>
        <v>0</v>
      </c>
      <c r="AN113" s="261">
        <f>IF(AM113&gt;0,SQRT(SUM(AO82:AO112))/AM113,0)</f>
        <v>0</v>
      </c>
      <c r="AO113" s="260">
        <f>(AM113*AN113)^2</f>
        <v>0</v>
      </c>
      <c r="AP113" s="255"/>
      <c r="AQ113" s="255"/>
      <c r="AR113" s="263"/>
      <c r="AS113" s="255"/>
      <c r="AT113" s="255"/>
      <c r="AU113" s="260">
        <f>SUM(AU82:AU112)</f>
        <v>0</v>
      </c>
      <c r="AV113" s="261">
        <f>IF(AU113&gt;0,SQRT(SUM(AW82:AW112))/AU113,0)</f>
        <v>0</v>
      </c>
      <c r="AW113" s="260">
        <f t="shared" si="463"/>
        <v>0</v>
      </c>
      <c r="AX113" s="255"/>
      <c r="AY113" s="255"/>
      <c r="AZ113" s="263"/>
      <c r="BA113" s="255"/>
      <c r="BB113" s="260">
        <f>SUM(BB82:BB112)</f>
        <v>0</v>
      </c>
      <c r="BC113" s="261">
        <f>IF(BB113&gt;0,SQRT(SUM(BD82:BD112))/BB113,0)</f>
        <v>0</v>
      </c>
      <c r="BD113" s="260">
        <f t="shared" si="465"/>
        <v>0</v>
      </c>
      <c r="BE113" s="255"/>
      <c r="BF113" s="255"/>
      <c r="BG113" s="263"/>
      <c r="BH113" s="255"/>
      <c r="BI113" s="260">
        <f>SUM(BI82:BI112)</f>
        <v>0</v>
      </c>
      <c r="BJ113" s="261">
        <f>IF(BI113&gt;0,SQRT(SUM(BK82:BK112))/BI113,0)</f>
        <v>0</v>
      </c>
      <c r="BK113" s="260">
        <f t="shared" si="485"/>
        <v>0</v>
      </c>
      <c r="BL113" s="255"/>
      <c r="BM113" s="255"/>
      <c r="BN113" s="258"/>
      <c r="BO113" s="265"/>
      <c r="BP113" s="266"/>
      <c r="BQ113" s="260">
        <f>SUM(BQ82:BQ112)</f>
        <v>0</v>
      </c>
      <c r="BR113" s="261">
        <f>IF(BQ113&gt;0,SQRT(SUM(BS82:BS112))/BQ113,0)</f>
        <v>0</v>
      </c>
      <c r="BS113" s="260">
        <f t="shared" si="468"/>
        <v>0</v>
      </c>
      <c r="BT113" s="255"/>
      <c r="BU113" s="255"/>
      <c r="BV113" s="258"/>
      <c r="BW113" s="265"/>
      <c r="BX113" s="260">
        <f>SUM(BX82:BX112)</f>
        <v>0</v>
      </c>
      <c r="BY113" s="261">
        <f>IF(BX113&gt;0,SQRT(SUM(BZ82:BZ112))/BX113,0)</f>
        <v>0</v>
      </c>
      <c r="BZ113" s="260">
        <f t="shared" ref="BZ113:BZ114" si="511">(BX113*BY113)^2</f>
        <v>0</v>
      </c>
      <c r="CA113" s="260">
        <f>SUM(CA82:CA112)</f>
        <v>0</v>
      </c>
      <c r="CB113" s="267">
        <f>IF(CA113&gt;0,SQRT(SUM(CC82:CC112))/CA113,0)</f>
        <v>0</v>
      </c>
      <c r="CC113" s="45">
        <f t="shared" si="50"/>
        <v>0</v>
      </c>
    </row>
    <row r="114" spans="1:155" ht="30.75" customHeight="1">
      <c r="B114" s="290" t="s">
        <v>274</v>
      </c>
      <c r="C114" s="291"/>
      <c r="D114" s="291"/>
      <c r="E114" s="292"/>
      <c r="F114" s="292"/>
      <c r="G114" s="292"/>
      <c r="H114" s="292"/>
      <c r="I114" s="292"/>
      <c r="J114" s="292"/>
      <c r="K114" s="292"/>
      <c r="L114" s="292"/>
      <c r="M114" s="292"/>
      <c r="N114" s="292"/>
      <c r="O114" s="292"/>
      <c r="P114" s="292"/>
      <c r="Q114" s="292"/>
      <c r="R114" s="292"/>
      <c r="S114" s="292"/>
      <c r="T114" s="292"/>
      <c r="U114" s="292"/>
      <c r="V114" s="292"/>
      <c r="W114" s="292"/>
      <c r="X114" s="293"/>
      <c r="Y114" s="292"/>
      <c r="Z114" s="292"/>
      <c r="AA114" s="292"/>
      <c r="AB114" s="294"/>
      <c r="AC114" s="292"/>
      <c r="AD114" s="295"/>
      <c r="AE114" s="296">
        <f>+AE30+AE52+AE113+AE77</f>
        <v>0</v>
      </c>
      <c r="AF114" s="297">
        <f>IF(AE114&gt;0,(SQRT(AG30+AG52+AG113+AG77))/AE114,0)</f>
        <v>0</v>
      </c>
      <c r="AG114" s="296">
        <f>(AE114*AF114)^2</f>
        <v>0</v>
      </c>
      <c r="AH114" s="298"/>
      <c r="AI114" s="292"/>
      <c r="AJ114" s="299"/>
      <c r="AK114" s="292"/>
      <c r="AL114" s="300"/>
      <c r="AM114" s="296">
        <f>+AM30+AM52+AM113+AM77</f>
        <v>0</v>
      </c>
      <c r="AN114" s="297">
        <f>IF(AM114&gt;0,(SQRT(AO30+AO52+AO113+AO77))/AM114,0)</f>
        <v>0</v>
      </c>
      <c r="AO114" s="296">
        <f>(AM114*AN114)^2</f>
        <v>0</v>
      </c>
      <c r="AP114" s="292"/>
      <c r="AQ114" s="292"/>
      <c r="AR114" s="299"/>
      <c r="AS114" s="292"/>
      <c r="AT114" s="292"/>
      <c r="AU114" s="296">
        <f>+AU30+AU52+AU113+AU77</f>
        <v>0</v>
      </c>
      <c r="AV114" s="297">
        <f>IF(AU114&gt;0,(SQRT(AW30+AW52+AW113+AW77))/AU114,0)</f>
        <v>0</v>
      </c>
      <c r="AW114" s="296">
        <f t="shared" si="463"/>
        <v>0</v>
      </c>
      <c r="AX114" s="292"/>
      <c r="AY114" s="292"/>
      <c r="AZ114" s="299"/>
      <c r="BA114" s="292"/>
      <c r="BB114" s="296">
        <f>+BB30+BB52+BB113+BB77</f>
        <v>0</v>
      </c>
      <c r="BC114" s="297">
        <f>IF(BB114&gt;0,(SQRT(BD30+BD52+BD113+BD77))/BB114,0)</f>
        <v>0</v>
      </c>
      <c r="BD114" s="296">
        <f t="shared" si="465"/>
        <v>0</v>
      </c>
      <c r="BE114" s="292"/>
      <c r="BF114" s="292"/>
      <c r="BG114" s="299"/>
      <c r="BH114" s="292"/>
      <c r="BI114" s="296">
        <f>+BI30+BI52+BI113+BI77</f>
        <v>0</v>
      </c>
      <c r="BJ114" s="297">
        <f>IF(BI114&gt;0,(SQRT(BK30+BK52+BK113+BK77))/BI114,0)</f>
        <v>0</v>
      </c>
      <c r="BK114" s="296">
        <f t="shared" si="485"/>
        <v>0</v>
      </c>
      <c r="BL114" s="292"/>
      <c r="BM114" s="292"/>
      <c r="BN114" s="294"/>
      <c r="BO114" s="301"/>
      <c r="BP114" s="302"/>
      <c r="BQ114" s="296">
        <f>+BQ30+BQ52+BQ113+BQ77</f>
        <v>0</v>
      </c>
      <c r="BR114" s="297">
        <f>IF(BQ114&gt;0,(SQRT(BS30+BS52+BS113+BS77))/BQ114,0)</f>
        <v>0</v>
      </c>
      <c r="BS114" s="296">
        <f t="shared" si="468"/>
        <v>0</v>
      </c>
      <c r="BT114" s="292"/>
      <c r="BU114" s="292"/>
      <c r="BV114" s="294"/>
      <c r="BW114" s="301"/>
      <c r="BX114" s="296">
        <f>+BX30+BX52+BX113+BX77</f>
        <v>0</v>
      </c>
      <c r="BY114" s="297">
        <f>IF(BX114&gt;0,(SQRT(BZ30+BZ52+BZ113+BZ77))/BX114,0)</f>
        <v>0</v>
      </c>
      <c r="BZ114" s="296">
        <f t="shared" si="511"/>
        <v>0</v>
      </c>
      <c r="CA114" s="303">
        <f>+CA30+CA52+CA113+CA77</f>
        <v>0</v>
      </c>
      <c r="CB114" s="475">
        <f>IF(CA114&gt;0,(SQRT(CC30+CC52+CC113+CC77))/CA114,0)</f>
        <v>0</v>
      </c>
      <c r="CC114" s="45">
        <f t="shared" ref="CC114:CC121" si="512">(CA114*CB114)^2</f>
        <v>0</v>
      </c>
    </row>
    <row r="115" spans="1:155" s="19" customFormat="1" ht="20.65">
      <c r="B115" s="304"/>
      <c r="C115" s="304"/>
      <c r="D115" s="304"/>
      <c r="E115" s="304"/>
      <c r="F115" s="304"/>
      <c r="G115" s="305"/>
      <c r="H115" s="305"/>
      <c r="I115" s="305"/>
      <c r="J115" s="305"/>
      <c r="K115" s="305"/>
      <c r="L115" s="305"/>
      <c r="M115" s="305"/>
      <c r="N115" s="305"/>
      <c r="O115" s="305"/>
      <c r="P115" s="305"/>
      <c r="Q115" s="305"/>
      <c r="R115" s="305"/>
      <c r="S115" s="305"/>
      <c r="T115" s="306"/>
      <c r="U115" s="305"/>
      <c r="V115" s="305"/>
      <c r="W115" s="305"/>
      <c r="X115" s="307"/>
      <c r="Y115" s="308"/>
      <c r="Z115" s="304"/>
      <c r="AA115" s="304"/>
      <c r="AB115" s="309"/>
      <c r="AC115" s="308"/>
      <c r="AD115" s="310"/>
      <c r="AE115" s="310"/>
      <c r="AF115" s="308"/>
      <c r="AG115" s="310"/>
      <c r="AH115" s="311"/>
      <c r="AI115" s="304"/>
      <c r="AJ115" s="309"/>
      <c r="AK115" s="308"/>
      <c r="AL115" s="312"/>
      <c r="AM115" s="312"/>
      <c r="AN115" s="308"/>
      <c r="AO115" s="310"/>
      <c r="AP115" s="304"/>
      <c r="AQ115" s="304"/>
      <c r="AR115" s="309"/>
      <c r="AS115" s="308"/>
      <c r="AT115" s="308"/>
      <c r="AU115" s="308"/>
      <c r="AV115" s="308"/>
      <c r="AW115" s="310"/>
      <c r="AX115" s="304"/>
      <c r="AY115" s="304"/>
      <c r="AZ115" s="309"/>
      <c r="BA115" s="308"/>
      <c r="BB115" s="310"/>
      <c r="BC115" s="308"/>
      <c r="BD115" s="310"/>
      <c r="BE115" s="304"/>
      <c r="BF115" s="304"/>
      <c r="BG115" s="309"/>
      <c r="BH115" s="308"/>
      <c r="BI115" s="310"/>
      <c r="BJ115" s="308"/>
      <c r="BK115" s="310"/>
      <c r="BL115" s="304"/>
      <c r="BM115" s="304"/>
      <c r="BN115" s="309"/>
      <c r="BO115" s="308"/>
      <c r="BP115" s="310"/>
      <c r="BQ115" s="310"/>
      <c r="BR115" s="308"/>
      <c r="BS115" s="310"/>
      <c r="BT115" s="304"/>
      <c r="BU115" s="304"/>
      <c r="BV115" s="309"/>
      <c r="BW115" s="308"/>
      <c r="BX115" s="310"/>
      <c r="BY115" s="308"/>
      <c r="BZ115" s="310"/>
      <c r="CA115" s="305"/>
      <c r="CB115" s="308"/>
      <c r="CC115" s="45">
        <f t="shared" si="512"/>
        <v>0</v>
      </c>
      <c r="CD115" s="59"/>
      <c r="CE115" s="21"/>
      <c r="CF115" s="21"/>
      <c r="CG115" s="21"/>
      <c r="CH115" s="60"/>
      <c r="CI115" s="60"/>
      <c r="CJ115" s="60"/>
      <c r="CK115" s="21"/>
      <c r="CL115" s="21"/>
      <c r="CM115" s="21"/>
      <c r="CN115" s="21"/>
      <c r="CO115" s="21"/>
      <c r="CP115" s="21"/>
      <c r="CQ115" s="21"/>
      <c r="CR115" s="21"/>
      <c r="CS115" s="21"/>
      <c r="CT115" s="21"/>
      <c r="CU115" s="21"/>
      <c r="CV115" s="21"/>
      <c r="CW115" s="20"/>
      <c r="CX115" s="21"/>
      <c r="CY115" s="21"/>
      <c r="CZ115" s="20"/>
      <c r="DA115" s="20"/>
      <c r="DB115" s="20"/>
      <c r="DC115" s="20"/>
      <c r="DD115" s="21"/>
      <c r="DE115" s="21"/>
      <c r="DF115" s="20"/>
      <c r="DG115" s="20"/>
      <c r="DH115" s="20"/>
      <c r="DI115" s="22"/>
      <c r="DJ115" s="23"/>
      <c r="DK115" s="23"/>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5"/>
      <c r="ES115" s="25"/>
      <c r="ET115" s="25"/>
      <c r="EU115" s="25"/>
      <c r="EV115" s="25"/>
      <c r="EW115" s="25"/>
      <c r="EX115" s="25"/>
      <c r="EY115" s="25"/>
    </row>
    <row r="116" spans="1:155" ht="31.5" customHeight="1">
      <c r="B116" s="534" t="s">
        <v>275</v>
      </c>
      <c r="C116" s="535"/>
      <c r="D116" s="535"/>
      <c r="E116" s="535"/>
      <c r="F116" s="535"/>
      <c r="G116" s="535"/>
      <c r="H116" s="535"/>
      <c r="I116" s="535"/>
      <c r="J116" s="535"/>
      <c r="K116" s="535"/>
      <c r="L116" s="535"/>
      <c r="M116" s="535"/>
      <c r="N116" s="535"/>
      <c r="O116" s="535"/>
      <c r="P116" s="535"/>
      <c r="Q116" s="535"/>
      <c r="R116" s="535"/>
      <c r="S116" s="535"/>
      <c r="T116" s="535"/>
      <c r="U116" s="535"/>
      <c r="V116" s="535"/>
      <c r="W116" s="535"/>
      <c r="X116" s="535"/>
      <c r="Y116" s="535"/>
      <c r="Z116" s="535"/>
      <c r="AA116" s="535"/>
      <c r="AB116" s="535"/>
      <c r="AC116" s="535"/>
      <c r="AD116" s="535"/>
      <c r="AE116" s="535"/>
      <c r="AF116" s="535"/>
      <c r="AG116" s="535"/>
      <c r="AH116" s="535"/>
      <c r="AI116" s="535"/>
      <c r="AJ116" s="535"/>
      <c r="AK116" s="535"/>
      <c r="AL116" s="535"/>
      <c r="AM116" s="535"/>
      <c r="AN116" s="535"/>
      <c r="AO116" s="535"/>
      <c r="AP116" s="535"/>
      <c r="AQ116" s="535"/>
      <c r="AR116" s="535"/>
      <c r="AS116" s="535"/>
      <c r="AT116" s="535"/>
      <c r="AU116" s="535"/>
      <c r="AV116" s="535"/>
      <c r="AW116" s="535"/>
      <c r="AX116" s="535"/>
      <c r="AY116" s="535"/>
      <c r="AZ116" s="535"/>
      <c r="BA116" s="535"/>
      <c r="BB116" s="535"/>
      <c r="BC116" s="535"/>
      <c r="BD116" s="535"/>
      <c r="BE116" s="535"/>
      <c r="BF116" s="535"/>
      <c r="BG116" s="535"/>
      <c r="BH116" s="535"/>
      <c r="BI116" s="535"/>
      <c r="BJ116" s="535"/>
      <c r="BK116" s="535"/>
      <c r="BL116" s="535"/>
      <c r="BM116" s="535"/>
      <c r="BN116" s="535"/>
      <c r="BO116" s="535"/>
      <c r="BP116" s="535"/>
      <c r="BQ116" s="535"/>
      <c r="BR116" s="535"/>
      <c r="BS116" s="535"/>
      <c r="BT116" s="535"/>
      <c r="BU116" s="535"/>
      <c r="BV116" s="535"/>
      <c r="BW116" s="535"/>
      <c r="BX116" s="535"/>
      <c r="BY116" s="535"/>
      <c r="BZ116" s="535"/>
      <c r="CA116" s="535"/>
      <c r="CB116" s="536"/>
      <c r="CC116" s="45">
        <f t="shared" si="512"/>
        <v>0</v>
      </c>
    </row>
    <row r="117" spans="1:155" s="36" customFormat="1" ht="49.5" customHeight="1">
      <c r="A117" s="19"/>
      <c r="B117" s="546" t="s">
        <v>157</v>
      </c>
      <c r="C117" s="544" t="s">
        <v>158</v>
      </c>
      <c r="D117" s="544" t="s">
        <v>159</v>
      </c>
      <c r="E117" s="540" t="s">
        <v>160</v>
      </c>
      <c r="F117" s="540" t="s">
        <v>161</v>
      </c>
      <c r="G117" s="540"/>
      <c r="H117" s="540"/>
      <c r="I117" s="540"/>
      <c r="J117" s="540"/>
      <c r="K117" s="540"/>
      <c r="L117" s="540"/>
      <c r="M117" s="540"/>
      <c r="N117" s="540"/>
      <c r="O117" s="540"/>
      <c r="P117" s="540"/>
      <c r="Q117" s="540"/>
      <c r="R117" s="540"/>
      <c r="S117" s="540"/>
      <c r="T117" s="540"/>
      <c r="U117" s="540" t="s">
        <v>162</v>
      </c>
      <c r="V117" s="540"/>
      <c r="W117" s="540"/>
      <c r="X117" s="540"/>
      <c r="Y117" s="540"/>
      <c r="Z117" s="541" t="s">
        <v>163</v>
      </c>
      <c r="AA117" s="541"/>
      <c r="AB117" s="541"/>
      <c r="AC117" s="541"/>
      <c r="AD117" s="541"/>
      <c r="AE117" s="541"/>
      <c r="AF117" s="541"/>
      <c r="AG117" s="541"/>
      <c r="AH117" s="541" t="s">
        <v>164</v>
      </c>
      <c r="AI117" s="541"/>
      <c r="AJ117" s="541"/>
      <c r="AK117" s="541"/>
      <c r="AL117" s="541"/>
      <c r="AM117" s="541"/>
      <c r="AN117" s="541"/>
      <c r="AO117" s="541"/>
      <c r="AP117" s="541" t="s">
        <v>165</v>
      </c>
      <c r="AQ117" s="541"/>
      <c r="AR117" s="541"/>
      <c r="AS117" s="541"/>
      <c r="AT117" s="541"/>
      <c r="AU117" s="541"/>
      <c r="AV117" s="541"/>
      <c r="AW117" s="541"/>
      <c r="AX117" s="541" t="s">
        <v>166</v>
      </c>
      <c r="AY117" s="541"/>
      <c r="AZ117" s="541"/>
      <c r="BA117" s="541"/>
      <c r="BB117" s="541"/>
      <c r="BC117" s="541"/>
      <c r="BD117" s="541"/>
      <c r="BE117" s="541" t="s">
        <v>167</v>
      </c>
      <c r="BF117" s="541"/>
      <c r="BG117" s="541"/>
      <c r="BH117" s="541"/>
      <c r="BI117" s="541"/>
      <c r="BJ117" s="541"/>
      <c r="BK117" s="541"/>
      <c r="BL117" s="541" t="s">
        <v>168</v>
      </c>
      <c r="BM117" s="541"/>
      <c r="BN117" s="541"/>
      <c r="BO117" s="541"/>
      <c r="BP117" s="541"/>
      <c r="BQ117" s="541"/>
      <c r="BR117" s="541"/>
      <c r="BS117" s="541"/>
      <c r="BT117" s="541" t="s">
        <v>169</v>
      </c>
      <c r="BU117" s="541"/>
      <c r="BV117" s="541"/>
      <c r="BW117" s="541"/>
      <c r="BX117" s="541"/>
      <c r="BY117" s="541"/>
      <c r="BZ117" s="541"/>
      <c r="CA117" s="542" t="s">
        <v>244</v>
      </c>
      <c r="CB117" s="543" t="s">
        <v>41</v>
      </c>
      <c r="CC117" s="45"/>
      <c r="CE117" s="46"/>
      <c r="CF117" s="46"/>
      <c r="CG117" s="46"/>
      <c r="CH117" s="47"/>
      <c r="CI117" s="47"/>
      <c r="CJ117" s="47"/>
      <c r="CK117" s="46"/>
      <c r="CL117" s="46"/>
      <c r="CM117" s="46"/>
      <c r="CN117" s="46"/>
      <c r="CO117" s="46"/>
      <c r="CP117" s="46"/>
      <c r="CQ117" s="46"/>
      <c r="CR117" s="46"/>
      <c r="CS117" s="46"/>
      <c r="CT117" s="46"/>
      <c r="CU117" s="46"/>
      <c r="CV117" s="46"/>
      <c r="CW117" s="48"/>
      <c r="CX117" s="46"/>
      <c r="CY117" s="46"/>
      <c r="CZ117" s="48"/>
      <c r="DA117" s="48"/>
      <c r="DB117" s="48"/>
      <c r="DC117" s="48"/>
      <c r="DD117" s="46"/>
      <c r="DE117" s="46"/>
      <c r="DF117" s="48"/>
      <c r="DG117" s="48"/>
      <c r="DH117" s="48"/>
      <c r="DI117" s="49"/>
      <c r="DJ117" s="50"/>
      <c r="DK117" s="50"/>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8"/>
      <c r="ES117" s="38"/>
      <c r="ET117" s="38"/>
      <c r="EU117" s="38"/>
      <c r="EV117" s="38"/>
      <c r="EW117" s="38"/>
      <c r="EX117" s="38"/>
      <c r="EY117" s="38"/>
    </row>
    <row r="118" spans="1:155" s="36" customFormat="1" ht="75" customHeight="1">
      <c r="A118" s="19"/>
      <c r="B118" s="547"/>
      <c r="C118" s="545"/>
      <c r="D118" s="545"/>
      <c r="E118" s="540"/>
      <c r="F118" s="444" t="s">
        <v>171</v>
      </c>
      <c r="G118" s="444" t="s">
        <v>172</v>
      </c>
      <c r="H118" s="444" t="s">
        <v>173</v>
      </c>
      <c r="I118" s="444" t="s">
        <v>174</v>
      </c>
      <c r="J118" s="444" t="s">
        <v>175</v>
      </c>
      <c r="K118" s="444" t="s">
        <v>176</v>
      </c>
      <c r="L118" s="444" t="s">
        <v>177</v>
      </c>
      <c r="M118" s="444" t="s">
        <v>178</v>
      </c>
      <c r="N118" s="444" t="s">
        <v>179</v>
      </c>
      <c r="O118" s="444" t="s">
        <v>180</v>
      </c>
      <c r="P118" s="444" t="s">
        <v>181</v>
      </c>
      <c r="Q118" s="444" t="s">
        <v>182</v>
      </c>
      <c r="R118" s="444" t="s">
        <v>183</v>
      </c>
      <c r="S118" s="444" t="s">
        <v>184</v>
      </c>
      <c r="T118" s="444" t="s">
        <v>185</v>
      </c>
      <c r="U118" s="444" t="s">
        <v>186</v>
      </c>
      <c r="V118" s="444" t="s">
        <v>187</v>
      </c>
      <c r="W118" s="444" t="s">
        <v>188</v>
      </c>
      <c r="X118" s="445" t="s">
        <v>189</v>
      </c>
      <c r="Y118" s="237" t="s">
        <v>162</v>
      </c>
      <c r="Z118" s="542" t="s">
        <v>190</v>
      </c>
      <c r="AA118" s="542"/>
      <c r="AB118" s="446" t="s">
        <v>191</v>
      </c>
      <c r="AC118" s="444" t="s">
        <v>192</v>
      </c>
      <c r="AD118" s="447" t="s">
        <v>193</v>
      </c>
      <c r="AE118" s="447" t="s">
        <v>193</v>
      </c>
      <c r="AF118" s="237" t="s">
        <v>194</v>
      </c>
      <c r="AG118" s="447" t="s">
        <v>195</v>
      </c>
      <c r="AH118" s="542" t="s">
        <v>196</v>
      </c>
      <c r="AI118" s="542"/>
      <c r="AJ118" s="446" t="s">
        <v>191</v>
      </c>
      <c r="AK118" s="237" t="s">
        <v>197</v>
      </c>
      <c r="AL118" s="448" t="s">
        <v>198</v>
      </c>
      <c r="AM118" s="448" t="s">
        <v>199</v>
      </c>
      <c r="AN118" s="237" t="s">
        <v>200</v>
      </c>
      <c r="AO118" s="447" t="s">
        <v>195</v>
      </c>
      <c r="AP118" s="542" t="s">
        <v>201</v>
      </c>
      <c r="AQ118" s="542"/>
      <c r="AR118" s="446" t="s">
        <v>191</v>
      </c>
      <c r="AS118" s="237" t="s">
        <v>202</v>
      </c>
      <c r="AT118" s="444" t="s">
        <v>203</v>
      </c>
      <c r="AU118" s="444" t="s">
        <v>204</v>
      </c>
      <c r="AV118" s="237" t="s">
        <v>205</v>
      </c>
      <c r="AW118" s="447" t="s">
        <v>195</v>
      </c>
      <c r="AX118" s="542" t="s">
        <v>206</v>
      </c>
      <c r="AY118" s="542"/>
      <c r="AZ118" s="446" t="s">
        <v>191</v>
      </c>
      <c r="BA118" s="237" t="s">
        <v>276</v>
      </c>
      <c r="BB118" s="447" t="s">
        <v>233</v>
      </c>
      <c r="BC118" s="237" t="s">
        <v>209</v>
      </c>
      <c r="BD118" s="447" t="s">
        <v>195</v>
      </c>
      <c r="BE118" s="542" t="s">
        <v>210</v>
      </c>
      <c r="BF118" s="542"/>
      <c r="BG118" s="446" t="s">
        <v>191</v>
      </c>
      <c r="BH118" s="237" t="s">
        <v>211</v>
      </c>
      <c r="BI118" s="447" t="s">
        <v>234</v>
      </c>
      <c r="BJ118" s="237" t="s">
        <v>213</v>
      </c>
      <c r="BK118" s="447" t="s">
        <v>195</v>
      </c>
      <c r="BL118" s="542" t="s">
        <v>214</v>
      </c>
      <c r="BM118" s="542"/>
      <c r="BN118" s="446" t="s">
        <v>191</v>
      </c>
      <c r="BO118" s="237" t="s">
        <v>215</v>
      </c>
      <c r="BP118" s="447" t="s">
        <v>235</v>
      </c>
      <c r="BQ118" s="447" t="s">
        <v>236</v>
      </c>
      <c r="BR118" s="237" t="s">
        <v>218</v>
      </c>
      <c r="BS118" s="447" t="s">
        <v>195</v>
      </c>
      <c r="BT118" s="542" t="s">
        <v>219</v>
      </c>
      <c r="BU118" s="542"/>
      <c r="BV118" s="446" t="s">
        <v>191</v>
      </c>
      <c r="BW118" s="237" t="s">
        <v>220</v>
      </c>
      <c r="BX118" s="447" t="s">
        <v>237</v>
      </c>
      <c r="BY118" s="237" t="s">
        <v>222</v>
      </c>
      <c r="BZ118" s="447" t="s">
        <v>195</v>
      </c>
      <c r="CA118" s="542"/>
      <c r="CB118" s="543"/>
      <c r="CC118" s="45" t="s">
        <v>223</v>
      </c>
      <c r="CE118" s="46"/>
      <c r="CF118" s="46"/>
      <c r="CG118" s="46"/>
      <c r="CH118" s="47"/>
      <c r="CI118" s="47"/>
      <c r="CJ118" s="47"/>
      <c r="CK118" s="46"/>
      <c r="CL118" s="46"/>
      <c r="CM118" s="46"/>
      <c r="CN118" s="46"/>
      <c r="CO118" s="46"/>
      <c r="CP118" s="46"/>
      <c r="CQ118" s="46"/>
      <c r="CR118" s="46"/>
      <c r="CS118" s="46"/>
      <c r="CT118" s="46"/>
      <c r="CU118" s="46"/>
      <c r="CV118" s="46"/>
      <c r="CW118" s="48"/>
      <c r="CX118" s="46"/>
      <c r="CY118" s="46"/>
      <c r="CZ118" s="48"/>
      <c r="DA118" s="48"/>
      <c r="DB118" s="48"/>
      <c r="DC118" s="48"/>
      <c r="DD118" s="46"/>
      <c r="DE118" s="46"/>
      <c r="DF118" s="48"/>
      <c r="DG118" s="48"/>
      <c r="DH118" s="48"/>
      <c r="DI118" s="49"/>
      <c r="DJ118" s="50"/>
      <c r="DK118" s="50"/>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8"/>
      <c r="ES118" s="38"/>
      <c r="ET118" s="38"/>
      <c r="EU118" s="38"/>
      <c r="EV118" s="38"/>
      <c r="EW118" s="38"/>
      <c r="EX118" s="38"/>
      <c r="EY118" s="38"/>
    </row>
    <row r="119" spans="1:155" ht="15" customHeight="1">
      <c r="B119" s="313" t="s">
        <v>277</v>
      </c>
      <c r="C119" s="239"/>
      <c r="D119" s="239"/>
      <c r="E119" s="252"/>
      <c r="F119" s="241">
        <f>VLOOKUP($E119,$CD$138:$DH$504,2,FALSE)</f>
        <v>0</v>
      </c>
      <c r="G119" s="239"/>
      <c r="H119" s="239"/>
      <c r="I119" s="239"/>
      <c r="J119" s="239"/>
      <c r="K119" s="239"/>
      <c r="L119" s="239"/>
      <c r="M119" s="239"/>
      <c r="N119" s="239"/>
      <c r="O119" s="239"/>
      <c r="P119" s="239"/>
      <c r="Q119" s="239"/>
      <c r="R119" s="239"/>
      <c r="S119" s="242">
        <f>SUM(G119:R119)</f>
        <v>0</v>
      </c>
      <c r="T119" s="243">
        <f>COUNT(G119:R119)</f>
        <v>0</v>
      </c>
      <c r="U119" s="242">
        <f>IF(T119&gt;1,AVERAGE(G119:R119),0)</f>
        <v>0</v>
      </c>
      <c r="V119" s="242">
        <f>IF(T119&gt;1,STDEV(G119:R119),0)</f>
        <v>0</v>
      </c>
      <c r="W119" s="242">
        <f>IF(T119&gt;1,VLOOKUP($T119,$CD$414:$CE$426,2,FALSE),0)</f>
        <v>0</v>
      </c>
      <c r="X119" s="244"/>
      <c r="Y119" s="449">
        <f>IF(X119&gt;0,X119,IF(T119&gt;1,1-((U119-((V119*W119)/(SQRT(T119))))/U119),VLOOKUP($E119,$CD$138:$DK$504,34,FALSE)))</f>
        <v>0</v>
      </c>
      <c r="Z119" s="250">
        <f>VLOOKUP($E119,$CD$138:$DH$504,3,FALSE)</f>
        <v>0</v>
      </c>
      <c r="AA119" s="246">
        <f>VLOOKUP($E119,$CD$138:$DH$504,4,FALSE)</f>
        <v>0</v>
      </c>
      <c r="AB119" s="450">
        <f>IF($S119&gt;0,VLOOKUP($E119,$CD$138:$DH$504,7,FALSE),0)</f>
        <v>0</v>
      </c>
      <c r="AC119" s="449">
        <f>IF($S119&gt;0,VLOOKUP($E119,$CD$138:$DH$504,6,FALSE),0)</f>
        <v>0</v>
      </c>
      <c r="AD119" s="451">
        <f>($S119*Z119)/1000</f>
        <v>0</v>
      </c>
      <c r="AE119" s="454">
        <f>AD119*$CE$432</f>
        <v>0</v>
      </c>
      <c r="AF119" s="449">
        <f t="shared" ref="AF119" si="513">IF(AD119&gt;0,SQRT(($Y119*$Y119)+(AC119*AC119)),0)</f>
        <v>0</v>
      </c>
      <c r="AG119" s="451">
        <f>(AE119*AF119)^2</f>
        <v>0</v>
      </c>
      <c r="AH119" s="250">
        <v>0</v>
      </c>
      <c r="AI119" s="246">
        <v>0</v>
      </c>
      <c r="AJ119" s="450">
        <v>0</v>
      </c>
      <c r="AK119" s="449">
        <v>0</v>
      </c>
      <c r="AL119" s="452">
        <f>($S119*AH119)/1000</f>
        <v>0</v>
      </c>
      <c r="AM119" s="452">
        <f>AL119*$CE$433</f>
        <v>0</v>
      </c>
      <c r="AN119" s="449">
        <f t="shared" ref="AN119" si="514">IF(AL119&gt;0,SQRT(($Y119*$Y119)+(AK119*AK119)),0)</f>
        <v>0</v>
      </c>
      <c r="AO119" s="451">
        <f>(AM119*AN119)^2</f>
        <v>0</v>
      </c>
      <c r="AP119" s="250">
        <v>0</v>
      </c>
      <c r="AQ119" s="246">
        <v>0</v>
      </c>
      <c r="AR119" s="450">
        <v>0</v>
      </c>
      <c r="AS119" s="449">
        <v>0</v>
      </c>
      <c r="AT119" s="452">
        <f>($S119*AP119)/1000</f>
        <v>0</v>
      </c>
      <c r="AU119" s="452">
        <f>AT119*$CE$434</f>
        <v>0</v>
      </c>
      <c r="AV119" s="449">
        <f t="shared" ref="AV119" si="515">IF(AT119&gt;0,SQRT(($Y119*$Y119)+(AS119*AS119)),0)</f>
        <v>0</v>
      </c>
      <c r="AW119" s="451">
        <f>(AU119*AV119)^2</f>
        <v>0</v>
      </c>
      <c r="AX119" s="248">
        <v>0</v>
      </c>
      <c r="AY119" s="246">
        <v>0</v>
      </c>
      <c r="AZ119" s="450">
        <v>0</v>
      </c>
      <c r="BA119" s="449">
        <v>0</v>
      </c>
      <c r="BB119" s="452">
        <v>0</v>
      </c>
      <c r="BC119" s="449">
        <v>0</v>
      </c>
      <c r="BD119" s="451">
        <f>(BB119*BC119)^2</f>
        <v>0</v>
      </c>
      <c r="BE119" s="248">
        <v>0</v>
      </c>
      <c r="BF119" s="246">
        <v>0</v>
      </c>
      <c r="BG119" s="450">
        <v>0</v>
      </c>
      <c r="BH119" s="449">
        <v>0</v>
      </c>
      <c r="BI119" s="452">
        <v>0</v>
      </c>
      <c r="BJ119" s="449">
        <v>0</v>
      </c>
      <c r="BK119" s="451">
        <f>(BI119*BJ119)^2</f>
        <v>0</v>
      </c>
      <c r="BL119" s="248">
        <v>0</v>
      </c>
      <c r="BM119" s="246">
        <v>0</v>
      </c>
      <c r="BN119" s="450">
        <v>0</v>
      </c>
      <c r="BO119" s="449">
        <v>0</v>
      </c>
      <c r="BP119" s="452">
        <f>($S119*BL119)/1000</f>
        <v>0</v>
      </c>
      <c r="BQ119" s="452">
        <f>BP119*$CE$435</f>
        <v>0</v>
      </c>
      <c r="BR119" s="449">
        <f t="shared" ref="BR119" si="516">IF(BP119&gt;0,SQRT(($Y119*$Y119)+(BO119*BO119)),0)</f>
        <v>0</v>
      </c>
      <c r="BS119" s="451">
        <f>(BQ119*BR119)^2</f>
        <v>0</v>
      </c>
      <c r="BT119" s="248">
        <v>0</v>
      </c>
      <c r="BU119" s="246">
        <v>0</v>
      </c>
      <c r="BV119" s="450">
        <v>0</v>
      </c>
      <c r="BW119" s="449">
        <v>0</v>
      </c>
      <c r="BX119" s="452">
        <v>0</v>
      </c>
      <c r="BY119" s="449">
        <v>0</v>
      </c>
      <c r="BZ119" s="451">
        <f>(BX119*BY119)^2</f>
        <v>0</v>
      </c>
      <c r="CA119" s="242">
        <f>IF(C119="EmisionesGEI",D119,AE119+AM119+AU119+BB119+BQ119)</f>
        <v>0</v>
      </c>
      <c r="CB119" s="453">
        <f>IF(CA119&gt;0,SQRT(AG119+AO119+AW119+BD119+BS119)/CA119,0)</f>
        <v>0</v>
      </c>
      <c r="CC119" s="45">
        <f>(CA119*CB119)^2</f>
        <v>0</v>
      </c>
    </row>
    <row r="120" spans="1:155" ht="31.5" customHeight="1">
      <c r="B120" s="314"/>
      <c r="C120" s="315"/>
      <c r="D120" s="315"/>
      <c r="E120" s="292"/>
      <c r="F120" s="292"/>
      <c r="G120" s="292"/>
      <c r="H120" s="292"/>
      <c r="I120" s="292"/>
      <c r="J120" s="292"/>
      <c r="K120" s="292"/>
      <c r="L120" s="292"/>
      <c r="M120" s="292"/>
      <c r="N120" s="292"/>
      <c r="O120" s="292"/>
      <c r="P120" s="292"/>
      <c r="Q120" s="292"/>
      <c r="R120" s="292"/>
      <c r="S120" s="292"/>
      <c r="T120" s="292"/>
      <c r="U120" s="292"/>
      <c r="V120" s="292"/>
      <c r="W120" s="292"/>
      <c r="X120" s="293"/>
      <c r="Y120" s="292"/>
      <c r="Z120" s="292"/>
      <c r="AA120" s="292"/>
      <c r="AB120" s="294"/>
      <c r="AC120" s="292"/>
      <c r="AD120" s="292"/>
      <c r="AE120" s="316">
        <f>SUM(AE119:AE119)</f>
        <v>0</v>
      </c>
      <c r="AF120" s="317">
        <f>IF(AE120&gt;0,(SQRT(SUM(AG119:AG119)))/AE120,0)</f>
        <v>0</v>
      </c>
      <c r="AG120" s="318">
        <f>(AE120*AF120)^2</f>
        <v>0</v>
      </c>
      <c r="AH120" s="319"/>
      <c r="AI120" s="319"/>
      <c r="AJ120" s="320"/>
      <c r="AK120" s="319"/>
      <c r="AL120" s="319"/>
      <c r="AM120" s="316">
        <f>SUM(AM119:AM119)</f>
        <v>0</v>
      </c>
      <c r="AN120" s="317">
        <f>IF(AM120&gt;0,(SQRT(SUM(AO119:AO119)))/AM120,0)</f>
        <v>0</v>
      </c>
      <c r="AO120" s="296">
        <f>(AM120*AN120)^2</f>
        <v>0</v>
      </c>
      <c r="AP120" s="319"/>
      <c r="AQ120" s="319"/>
      <c r="AR120" s="320"/>
      <c r="AS120" s="319"/>
      <c r="AT120" s="319"/>
      <c r="AU120" s="316">
        <f>SUM(AU119:AU119)</f>
        <v>0</v>
      </c>
      <c r="AV120" s="317">
        <f>IF(AU120&gt;0,(SQRT(SUM(AW119:AW119)))/AU120,0)</f>
        <v>0</v>
      </c>
      <c r="AW120" s="296">
        <f>(AU120*AV120)^2</f>
        <v>0</v>
      </c>
      <c r="AX120" s="319"/>
      <c r="AY120" s="319"/>
      <c r="AZ120" s="320"/>
      <c r="BA120" s="319"/>
      <c r="BB120" s="316">
        <f>SUM(BB119:BB119)</f>
        <v>0</v>
      </c>
      <c r="BC120" s="317">
        <f>IF(BB120&gt;0,(SQRT(SUM(BD119:BD119)))/BB120,0)</f>
        <v>0</v>
      </c>
      <c r="BD120" s="296">
        <f>(BB120*BC120)^2</f>
        <v>0</v>
      </c>
      <c r="BE120" s="319"/>
      <c r="BF120" s="319"/>
      <c r="BG120" s="320"/>
      <c r="BH120" s="319"/>
      <c r="BI120" s="316">
        <f>SUM(BI119:BI119)</f>
        <v>0</v>
      </c>
      <c r="BJ120" s="317">
        <f>IF(BI120&gt;0,(SQRT(SUM(BK119:BK119)))/BI120,0)</f>
        <v>0</v>
      </c>
      <c r="BK120" s="296">
        <f>(BI120*BJ120)^2</f>
        <v>0</v>
      </c>
      <c r="BL120" s="319"/>
      <c r="BM120" s="319"/>
      <c r="BN120" s="321"/>
      <c r="BO120" s="317"/>
      <c r="BP120" s="316"/>
      <c r="BQ120" s="316">
        <f>SUM(BQ119:BQ119)</f>
        <v>0</v>
      </c>
      <c r="BR120" s="317">
        <f>IF(BQ120&gt;0,(SQRT(SUM(BS119:BS119)))/BQ120,0)</f>
        <v>0</v>
      </c>
      <c r="BS120" s="296">
        <f>(BQ120*BR120)^2</f>
        <v>0</v>
      </c>
      <c r="BT120" s="319"/>
      <c r="BU120" s="319"/>
      <c r="BV120" s="321"/>
      <c r="BW120" s="317"/>
      <c r="BX120" s="316">
        <f>SUM(BX119:BX119)</f>
        <v>0</v>
      </c>
      <c r="BY120" s="317">
        <f>IF(BX120&gt;0,(SQRT(SUM(BZ119:BZ119)))/BX120,0)</f>
        <v>0</v>
      </c>
      <c r="BZ120" s="296">
        <f>(BX120*BY120)^2</f>
        <v>0</v>
      </c>
      <c r="CA120" s="303">
        <f>SUM(CA119:CA119)</f>
        <v>0</v>
      </c>
      <c r="CB120" s="475">
        <f>IF(CA120&gt;0,(SQRT(SUM(CC119:CC119)))/CA120,0)</f>
        <v>0</v>
      </c>
      <c r="CC120" s="45">
        <f t="shared" si="512"/>
        <v>0</v>
      </c>
    </row>
    <row r="121" spans="1:155" s="19" customFormat="1">
      <c r="B121" s="476"/>
      <c r="C121" s="476"/>
      <c r="D121" s="476"/>
      <c r="E121" s="476"/>
      <c r="F121" s="476"/>
      <c r="G121" s="477"/>
      <c r="H121" s="477"/>
      <c r="I121" s="477"/>
      <c r="J121" s="477"/>
      <c r="K121" s="477"/>
      <c r="L121" s="477"/>
      <c r="M121" s="477"/>
      <c r="N121" s="477"/>
      <c r="O121" s="477"/>
      <c r="P121" s="477"/>
      <c r="Q121" s="477"/>
      <c r="R121" s="477"/>
      <c r="S121" s="477"/>
      <c r="T121" s="478"/>
      <c r="U121" s="477"/>
      <c r="V121" s="477"/>
      <c r="W121" s="477"/>
      <c r="X121" s="479"/>
      <c r="Y121" s="480"/>
      <c r="Z121" s="476"/>
      <c r="AA121" s="476"/>
      <c r="AB121" s="481"/>
      <c r="AC121" s="480"/>
      <c r="AD121" s="482"/>
      <c r="AE121" s="482"/>
      <c r="AF121" s="480"/>
      <c r="AG121" s="482"/>
      <c r="AH121" s="483"/>
      <c r="AI121" s="476"/>
      <c r="AJ121" s="481"/>
      <c r="AK121" s="480"/>
      <c r="AL121" s="484"/>
      <c r="AM121" s="484"/>
      <c r="AN121" s="480"/>
      <c r="AO121" s="482"/>
      <c r="AP121" s="476"/>
      <c r="AQ121" s="476"/>
      <c r="AR121" s="481"/>
      <c r="AS121" s="480"/>
      <c r="AT121" s="480"/>
      <c r="AU121" s="480"/>
      <c r="AV121" s="480"/>
      <c r="AW121" s="482"/>
      <c r="AX121" s="476"/>
      <c r="AY121" s="476"/>
      <c r="AZ121" s="481"/>
      <c r="BA121" s="480"/>
      <c r="BB121" s="482"/>
      <c r="BC121" s="480"/>
      <c r="BD121" s="482"/>
      <c r="BE121" s="476"/>
      <c r="BF121" s="476"/>
      <c r="BG121" s="481"/>
      <c r="BH121" s="480"/>
      <c r="BI121" s="482"/>
      <c r="BJ121" s="480"/>
      <c r="BK121" s="482"/>
      <c r="BL121" s="476"/>
      <c r="BM121" s="476"/>
      <c r="BN121" s="481"/>
      <c r="BO121" s="480"/>
      <c r="BP121" s="482"/>
      <c r="BQ121" s="482"/>
      <c r="BR121" s="480"/>
      <c r="BS121" s="482"/>
      <c r="BT121" s="476"/>
      <c r="BU121" s="476"/>
      <c r="BV121" s="481"/>
      <c r="BW121" s="480"/>
      <c r="BX121" s="482"/>
      <c r="BY121" s="480"/>
      <c r="BZ121" s="482"/>
      <c r="CA121" s="477"/>
      <c r="CB121" s="480"/>
      <c r="CC121" s="45">
        <f t="shared" si="512"/>
        <v>0</v>
      </c>
      <c r="CD121" s="59"/>
      <c r="CE121" s="21"/>
      <c r="CF121" s="21"/>
      <c r="CG121" s="21"/>
      <c r="CH121" s="60"/>
      <c r="CI121" s="60"/>
      <c r="CJ121" s="60"/>
      <c r="CK121" s="21"/>
      <c r="CL121" s="21"/>
      <c r="CM121" s="21"/>
      <c r="CN121" s="21"/>
      <c r="CO121" s="21"/>
      <c r="CP121" s="21"/>
      <c r="CQ121" s="21"/>
      <c r="CR121" s="21"/>
      <c r="CS121" s="21"/>
      <c r="CT121" s="21"/>
      <c r="CU121" s="21"/>
      <c r="CV121" s="21"/>
      <c r="CW121" s="20"/>
      <c r="CX121" s="21"/>
      <c r="CY121" s="21"/>
      <c r="CZ121" s="20"/>
      <c r="DA121" s="20"/>
      <c r="DB121" s="20"/>
      <c r="DC121" s="20"/>
      <c r="DD121" s="21"/>
      <c r="DE121" s="21"/>
      <c r="DF121" s="20"/>
      <c r="DG121" s="20"/>
      <c r="DH121" s="20"/>
      <c r="DI121" s="22"/>
      <c r="DJ121" s="23"/>
      <c r="DK121" s="23"/>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5"/>
      <c r="ES121" s="25"/>
      <c r="ET121" s="25"/>
      <c r="EU121" s="25"/>
      <c r="EV121" s="25"/>
      <c r="EW121" s="25"/>
      <c r="EX121" s="25"/>
      <c r="EY121" s="25"/>
    </row>
    <row r="122" spans="1:155" s="19" customFormat="1" ht="20.65">
      <c r="B122" s="322"/>
      <c r="C122" s="322"/>
      <c r="D122" s="322"/>
      <c r="E122" s="322"/>
      <c r="F122" s="322"/>
      <c r="G122" s="323"/>
      <c r="H122" s="323"/>
      <c r="I122" s="323"/>
      <c r="J122" s="323"/>
      <c r="K122" s="323"/>
      <c r="L122" s="323"/>
      <c r="M122" s="323"/>
      <c r="N122" s="323"/>
      <c r="O122" s="323"/>
      <c r="P122" s="323"/>
      <c r="Q122" s="323"/>
      <c r="R122" s="323"/>
      <c r="S122" s="323"/>
      <c r="T122" s="324"/>
      <c r="U122" s="323"/>
      <c r="V122" s="323"/>
      <c r="W122" s="323"/>
      <c r="X122" s="325"/>
      <c r="Y122" s="326"/>
      <c r="Z122" s="322"/>
      <c r="AA122" s="322"/>
      <c r="AB122" s="327"/>
      <c r="AC122" s="326"/>
      <c r="AD122" s="328"/>
      <c r="AE122" s="328"/>
      <c r="AF122" s="326"/>
      <c r="AG122" s="328"/>
      <c r="AH122" s="329"/>
      <c r="AI122" s="322"/>
      <c r="AJ122" s="327"/>
      <c r="AK122" s="326"/>
      <c r="AL122" s="330"/>
      <c r="AM122" s="330"/>
      <c r="AN122" s="326"/>
      <c r="AO122" s="328"/>
      <c r="AP122" s="322"/>
      <c r="AQ122" s="322"/>
      <c r="AR122" s="327"/>
      <c r="AS122" s="326"/>
      <c r="AT122" s="326"/>
      <c r="AU122" s="326"/>
      <c r="AV122" s="326"/>
      <c r="AW122" s="328"/>
      <c r="AX122" s="322"/>
      <c r="AY122" s="322"/>
      <c r="AZ122" s="327"/>
      <c r="BA122" s="326"/>
      <c r="BB122" s="328"/>
      <c r="BC122" s="326"/>
      <c r="BD122" s="328"/>
      <c r="BE122" s="322"/>
      <c r="BF122" s="322"/>
      <c r="BG122" s="327"/>
      <c r="BH122" s="326"/>
      <c r="BI122" s="328"/>
      <c r="BJ122" s="326"/>
      <c r="BK122" s="328"/>
      <c r="BL122" s="322"/>
      <c r="BM122" s="322"/>
      <c r="BN122" s="327"/>
      <c r="BO122" s="326"/>
      <c r="BP122" s="328"/>
      <c r="BQ122" s="328"/>
      <c r="BR122" s="326"/>
      <c r="BS122" s="328"/>
      <c r="BT122" s="322"/>
      <c r="BU122" s="322"/>
      <c r="BV122" s="327"/>
      <c r="BW122" s="326"/>
      <c r="BX122" s="328"/>
      <c r="BY122" s="326"/>
      <c r="BZ122" s="328"/>
      <c r="CA122" s="323"/>
      <c r="CB122" s="326"/>
      <c r="CC122" s="45">
        <f t="shared" ref="CC122:CC123" si="517">(CA122*CB122)^2</f>
        <v>0</v>
      </c>
      <c r="CD122" s="59"/>
      <c r="CE122" s="21"/>
      <c r="CF122" s="21"/>
      <c r="CG122" s="21"/>
      <c r="CH122" s="60"/>
      <c r="CI122" s="60"/>
      <c r="CJ122" s="60"/>
      <c r="CK122" s="21"/>
      <c r="CL122" s="21"/>
      <c r="CM122" s="21"/>
      <c r="CN122" s="21"/>
      <c r="CO122" s="21"/>
      <c r="CP122" s="21"/>
      <c r="CQ122" s="21"/>
      <c r="CR122" s="21"/>
      <c r="CS122" s="21"/>
      <c r="CT122" s="21"/>
      <c r="CU122" s="21"/>
      <c r="CV122" s="21"/>
      <c r="CW122" s="20"/>
      <c r="CX122" s="21"/>
      <c r="CY122" s="21"/>
      <c r="CZ122" s="20"/>
      <c r="DA122" s="20"/>
      <c r="DB122" s="20"/>
      <c r="DC122" s="20"/>
      <c r="DD122" s="21"/>
      <c r="DE122" s="21"/>
      <c r="DF122" s="20"/>
      <c r="DG122" s="20"/>
      <c r="DH122" s="20"/>
      <c r="DI122" s="22"/>
      <c r="DJ122" s="23"/>
      <c r="DK122" s="23"/>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5"/>
      <c r="ES122" s="25"/>
      <c r="ET122" s="25"/>
      <c r="EU122" s="25"/>
      <c r="EV122" s="25"/>
      <c r="EW122" s="25"/>
      <c r="EX122" s="25"/>
      <c r="EY122" s="25"/>
    </row>
    <row r="123" spans="1:155" ht="30.75" customHeight="1">
      <c r="B123" s="331" t="s">
        <v>278</v>
      </c>
      <c r="C123" s="331"/>
      <c r="D123" s="331"/>
      <c r="E123" s="485"/>
      <c r="F123" s="485"/>
      <c r="G123" s="485"/>
      <c r="H123" s="485"/>
      <c r="I123" s="485"/>
      <c r="J123" s="485"/>
      <c r="K123" s="485"/>
      <c r="L123" s="485"/>
      <c r="M123" s="485"/>
      <c r="N123" s="485"/>
      <c r="O123" s="485"/>
      <c r="P123" s="485"/>
      <c r="Q123" s="485"/>
      <c r="R123" s="485"/>
      <c r="S123" s="485"/>
      <c r="T123" s="485"/>
      <c r="U123" s="485"/>
      <c r="V123" s="485"/>
      <c r="W123" s="485"/>
      <c r="X123" s="486"/>
      <c r="Y123" s="485"/>
      <c r="Z123" s="485"/>
      <c r="AA123" s="485"/>
      <c r="AB123" s="487"/>
      <c r="AC123" s="485"/>
      <c r="AD123" s="485"/>
      <c r="AE123" s="318">
        <f>+AE114+AE120</f>
        <v>0</v>
      </c>
      <c r="AF123" s="332">
        <f>IF(AE123&gt;0,SQRT(AG114+AG120)/AE123,0)</f>
        <v>0</v>
      </c>
      <c r="AG123" s="318">
        <f>(AE123*AF123)^2</f>
        <v>0</v>
      </c>
      <c r="AH123" s="485"/>
      <c r="AI123" s="485"/>
      <c r="AJ123" s="488"/>
      <c r="AK123" s="485"/>
      <c r="AL123" s="485"/>
      <c r="AM123" s="318">
        <f>+AM114+AM120</f>
        <v>0</v>
      </c>
      <c r="AN123" s="332">
        <f>IF(AM123&gt;0,SQRT(AO114+AO120)/AM123,0)</f>
        <v>0</v>
      </c>
      <c r="AO123" s="318">
        <f>(AM123*AN123)^2</f>
        <v>0</v>
      </c>
      <c r="AP123" s="485"/>
      <c r="AQ123" s="485"/>
      <c r="AR123" s="488"/>
      <c r="AS123" s="485"/>
      <c r="AT123" s="485"/>
      <c r="AU123" s="318">
        <f>+AU114+AU120</f>
        <v>0</v>
      </c>
      <c r="AV123" s="332">
        <f>IF(AU123&gt;0,SQRT(AW114+AW120)/AU123,0)</f>
        <v>0</v>
      </c>
      <c r="AW123" s="318">
        <f>(AU123*AV123)^2</f>
        <v>0</v>
      </c>
      <c r="AX123" s="485"/>
      <c r="AY123" s="485"/>
      <c r="AZ123" s="488"/>
      <c r="BA123" s="485"/>
      <c r="BB123" s="318">
        <f>+BB114+BB120</f>
        <v>0</v>
      </c>
      <c r="BC123" s="332">
        <f>IF(BB123&gt;0,SQRT(BD114+BD120)/BB123,0)</f>
        <v>0</v>
      </c>
      <c r="BD123" s="318">
        <f>(BB123*BC123)^2</f>
        <v>0</v>
      </c>
      <c r="BE123" s="485"/>
      <c r="BF123" s="485"/>
      <c r="BG123" s="488"/>
      <c r="BH123" s="485"/>
      <c r="BI123" s="318">
        <f>+BI114+BI120</f>
        <v>0</v>
      </c>
      <c r="BJ123" s="332">
        <f>IF(BI123&gt;0,SQRT(BK114+BK120)/BI123,0)</f>
        <v>0</v>
      </c>
      <c r="BK123" s="318">
        <f>(BI123*BJ123)^2</f>
        <v>0</v>
      </c>
      <c r="BL123" s="485"/>
      <c r="BM123" s="485"/>
      <c r="BN123" s="488"/>
      <c r="BO123" s="485"/>
      <c r="BP123" s="489"/>
      <c r="BQ123" s="318">
        <f>+BQ114+BQ120</f>
        <v>0</v>
      </c>
      <c r="BR123" s="332">
        <f>IF(BQ123&gt;0,SQRT(BS114+BS120)/BQ123,0)</f>
        <v>0</v>
      </c>
      <c r="BS123" s="318">
        <f>(BQ123*BR123)^2</f>
        <v>0</v>
      </c>
      <c r="BT123" s="485"/>
      <c r="BU123" s="485"/>
      <c r="BV123" s="488"/>
      <c r="BW123" s="485"/>
      <c r="BX123" s="318">
        <f>+BX114+BX120</f>
        <v>0</v>
      </c>
      <c r="BY123" s="332">
        <f>IF(BX123&gt;0,SQRT(BZ114+BZ120)/BX123,0)</f>
        <v>0</v>
      </c>
      <c r="BZ123" s="318">
        <f>(BX123*BY123)^2</f>
        <v>0</v>
      </c>
      <c r="CA123" s="333">
        <f>+CA114+CA120</f>
        <v>0</v>
      </c>
      <c r="CB123" s="334">
        <f>IF(CA123&gt;0,SQRT(CC114+CC120)/CA123,0)</f>
        <v>0</v>
      </c>
      <c r="CC123" s="45">
        <f t="shared" si="517"/>
        <v>0</v>
      </c>
    </row>
    <row r="124" spans="1:155">
      <c r="B124" s="61"/>
      <c r="C124" s="61"/>
      <c r="D124" s="61"/>
      <c r="E124" s="61"/>
      <c r="F124" s="61"/>
      <c r="G124" s="62"/>
      <c r="H124" s="62"/>
      <c r="I124" s="62"/>
      <c r="J124" s="62"/>
      <c r="K124" s="62"/>
      <c r="L124" s="62"/>
      <c r="M124" s="62"/>
      <c r="N124" s="62"/>
      <c r="O124" s="62"/>
      <c r="P124" s="62"/>
      <c r="Q124" s="62"/>
      <c r="R124" s="62"/>
      <c r="S124" s="62"/>
      <c r="T124" s="64"/>
      <c r="U124" s="62"/>
      <c r="V124" s="62"/>
      <c r="W124" s="62"/>
      <c r="X124" s="66"/>
      <c r="Y124" s="67"/>
      <c r="Z124" s="61"/>
      <c r="AA124" s="61"/>
      <c r="AB124" s="68"/>
      <c r="AC124" s="67"/>
      <c r="AD124" s="70"/>
      <c r="AE124" s="70"/>
      <c r="AF124" s="67"/>
      <c r="AG124" s="70"/>
      <c r="AH124" s="71"/>
      <c r="AI124" s="61"/>
      <c r="AJ124" s="72"/>
      <c r="AK124" s="67"/>
      <c r="AL124" s="73"/>
      <c r="AM124" s="73"/>
      <c r="AN124" s="67"/>
      <c r="AO124" s="70"/>
      <c r="AP124" s="61"/>
      <c r="AQ124" s="61"/>
      <c r="AR124" s="72"/>
      <c r="AS124" s="67"/>
      <c r="AT124" s="67"/>
      <c r="AU124" s="67"/>
      <c r="AV124" s="67"/>
      <c r="AW124" s="70"/>
      <c r="AX124" s="61"/>
      <c r="AY124" s="61"/>
      <c r="AZ124" s="72"/>
      <c r="BA124" s="67"/>
      <c r="BB124" s="70"/>
      <c r="BC124" s="67"/>
      <c r="BD124" s="70"/>
      <c r="BE124" s="61"/>
      <c r="BF124" s="61"/>
      <c r="BG124" s="72"/>
      <c r="BH124" s="67"/>
      <c r="BI124" s="70"/>
      <c r="BJ124" s="67"/>
      <c r="BK124" s="70"/>
      <c r="BL124" s="61"/>
      <c r="BM124" s="61"/>
      <c r="BN124" s="72"/>
      <c r="BO124" s="67"/>
      <c r="BP124" s="70"/>
      <c r="BQ124" s="70"/>
      <c r="BR124" s="67"/>
      <c r="BS124" s="70"/>
      <c r="BT124" s="61"/>
      <c r="BU124" s="61"/>
      <c r="BV124" s="72"/>
      <c r="BW124" s="67"/>
      <c r="BX124" s="70"/>
      <c r="BY124" s="67"/>
      <c r="BZ124" s="70"/>
      <c r="CA124" s="62"/>
      <c r="CB124" s="67"/>
    </row>
    <row r="125" spans="1:155">
      <c r="G125" s="63"/>
      <c r="H125" s="63"/>
      <c r="I125" s="63"/>
      <c r="J125" s="63"/>
      <c r="K125" s="63"/>
      <c r="L125" s="63"/>
      <c r="M125" s="63"/>
      <c r="N125" s="63"/>
      <c r="O125" s="63"/>
      <c r="P125" s="63"/>
      <c r="Q125" s="63"/>
      <c r="R125" s="63"/>
      <c r="S125" s="63"/>
      <c r="T125" s="65"/>
      <c r="U125" s="63"/>
      <c r="V125" s="63"/>
      <c r="W125" s="63"/>
      <c r="Y125" s="69"/>
      <c r="AC125" s="69"/>
      <c r="AF125" s="69"/>
      <c r="AK125" s="69"/>
      <c r="AN125" s="69"/>
      <c r="AS125" s="69"/>
      <c r="AT125" s="69"/>
      <c r="AU125" s="69"/>
      <c r="AV125" s="69"/>
      <c r="BA125" s="69"/>
      <c r="BC125" s="69"/>
      <c r="BH125" s="69"/>
      <c r="BJ125" s="69"/>
      <c r="BO125" s="69"/>
      <c r="BR125" s="69"/>
      <c r="BW125" s="69"/>
      <c r="BY125" s="69"/>
      <c r="CA125" s="63"/>
      <c r="CB125" s="69"/>
    </row>
    <row r="131" spans="1:115" hidden="1"/>
    <row r="132" spans="1:115" hidden="1">
      <c r="CE132" s="89" t="s">
        <v>279</v>
      </c>
    </row>
    <row r="133" spans="1:115" hidden="1"/>
    <row r="134" spans="1:115" hidden="1">
      <c r="CE134" s="46" t="s">
        <v>280</v>
      </c>
    </row>
    <row r="135" spans="1:115" hidden="1">
      <c r="CE135" s="46" t="s">
        <v>281</v>
      </c>
    </row>
    <row r="136" spans="1:115" s="37" customFormat="1" hidden="1">
      <c r="A136" s="24"/>
      <c r="X136" s="74"/>
      <c r="AB136" s="75"/>
      <c r="AD136" s="78"/>
      <c r="AE136" s="78"/>
      <c r="AG136" s="78"/>
      <c r="AH136" s="80"/>
      <c r="AJ136" s="81"/>
      <c r="AL136" s="85"/>
      <c r="AM136" s="85"/>
      <c r="AO136" s="78"/>
      <c r="AR136" s="81"/>
      <c r="AW136" s="78"/>
      <c r="AZ136" s="81"/>
      <c r="BB136" s="78"/>
      <c r="BD136" s="78"/>
      <c r="BG136" s="81"/>
      <c r="BI136" s="78"/>
      <c r="BK136" s="78"/>
      <c r="BN136" s="81"/>
      <c r="BP136" s="78"/>
      <c r="BQ136" s="78"/>
      <c r="BS136" s="78"/>
      <c r="BV136" s="81"/>
      <c r="BX136" s="78"/>
      <c r="BZ136" s="78"/>
      <c r="CC136" s="45"/>
      <c r="CD136" s="36"/>
      <c r="CE136" s="46"/>
      <c r="CF136" s="46"/>
      <c r="CG136" s="46"/>
      <c r="CH136" s="47"/>
      <c r="CI136" s="47"/>
      <c r="CJ136" s="47"/>
      <c r="CK136" s="107"/>
      <c r="CL136" s="107"/>
      <c r="CM136" s="107"/>
      <c r="CN136" s="107"/>
      <c r="CO136" s="107"/>
      <c r="CP136" s="107"/>
      <c r="CQ136" s="46"/>
      <c r="CR136" s="107"/>
      <c r="CS136" s="107"/>
      <c r="CT136" s="46"/>
      <c r="CU136" s="46"/>
      <c r="CV136" s="46"/>
      <c r="CW136" s="48"/>
      <c r="CX136" s="107"/>
      <c r="CY136" s="107"/>
      <c r="CZ136" s="48"/>
      <c r="DA136" s="48"/>
      <c r="DB136" s="48"/>
      <c r="DC136" s="48"/>
      <c r="DD136" s="107"/>
      <c r="DE136" s="107"/>
      <c r="DF136" s="48"/>
      <c r="DG136" s="48"/>
      <c r="DH136" s="48"/>
      <c r="DI136" s="49"/>
      <c r="DJ136" s="50"/>
      <c r="DK136" s="50"/>
    </row>
    <row r="137" spans="1:115" s="37" customFormat="1" ht="14.65" hidden="1" thickBot="1">
      <c r="A137" s="24"/>
      <c r="X137" s="74"/>
      <c r="AB137" s="75"/>
      <c r="AD137" s="78"/>
      <c r="AE137" s="78"/>
      <c r="AG137" s="78"/>
      <c r="AH137" s="80"/>
      <c r="AJ137" s="81"/>
      <c r="AL137" s="85"/>
      <c r="AM137" s="85"/>
      <c r="AO137" s="78"/>
      <c r="AR137" s="81"/>
      <c r="AW137" s="78"/>
      <c r="AZ137" s="81"/>
      <c r="BB137" s="78"/>
      <c r="BD137" s="78"/>
      <c r="BG137" s="81"/>
      <c r="BI137" s="78"/>
      <c r="BK137" s="78"/>
      <c r="BN137" s="81"/>
      <c r="BP137" s="78"/>
      <c r="BQ137" s="78"/>
      <c r="BS137" s="78"/>
      <c r="BV137" s="81"/>
      <c r="BX137" s="78"/>
      <c r="BZ137" s="78"/>
      <c r="CC137" s="45"/>
      <c r="CD137" s="36">
        <v>1</v>
      </c>
      <c r="CE137" s="46">
        <v>2</v>
      </c>
      <c r="CF137" s="46">
        <v>3</v>
      </c>
      <c r="CG137" s="46">
        <v>4</v>
      </c>
      <c r="CH137" s="46">
        <v>5</v>
      </c>
      <c r="CI137" s="46">
        <v>6</v>
      </c>
      <c r="CJ137" s="46">
        <v>7</v>
      </c>
      <c r="CK137" s="46">
        <v>8</v>
      </c>
      <c r="CL137" s="46">
        <v>9</v>
      </c>
      <c r="CM137" s="46">
        <v>10</v>
      </c>
      <c r="CN137" s="46">
        <v>11</v>
      </c>
      <c r="CO137" s="46">
        <v>12</v>
      </c>
      <c r="CP137" s="46">
        <v>13</v>
      </c>
      <c r="CQ137" s="46">
        <v>14</v>
      </c>
      <c r="CR137" s="46">
        <v>15</v>
      </c>
      <c r="CS137" s="46">
        <v>16</v>
      </c>
      <c r="CT137" s="46">
        <v>17</v>
      </c>
      <c r="CU137" s="46">
        <v>18</v>
      </c>
      <c r="CV137" s="46">
        <v>19</v>
      </c>
      <c r="CW137" s="46">
        <v>20</v>
      </c>
      <c r="CX137" s="46">
        <v>21</v>
      </c>
      <c r="CY137" s="46">
        <v>22</v>
      </c>
      <c r="CZ137" s="46">
        <v>23</v>
      </c>
      <c r="DA137" s="46">
        <v>24</v>
      </c>
      <c r="DB137" s="46">
        <v>25</v>
      </c>
      <c r="DC137" s="46">
        <v>26</v>
      </c>
      <c r="DD137" s="46">
        <v>27</v>
      </c>
      <c r="DE137" s="46">
        <v>28</v>
      </c>
      <c r="DF137" s="46">
        <v>29</v>
      </c>
      <c r="DG137" s="46">
        <v>30</v>
      </c>
      <c r="DH137" s="46">
        <v>31</v>
      </c>
      <c r="DI137" s="113">
        <v>32</v>
      </c>
      <c r="DJ137" s="114">
        <v>33</v>
      </c>
      <c r="DK137" s="114">
        <v>34</v>
      </c>
    </row>
    <row r="138" spans="1:115" s="37" customFormat="1" ht="26.25" hidden="1" customHeight="1" thickBot="1">
      <c r="A138" s="24"/>
      <c r="X138" s="74"/>
      <c r="AB138" s="75"/>
      <c r="AD138" s="78"/>
      <c r="AE138" s="78"/>
      <c r="AG138" s="78"/>
      <c r="AH138" s="80"/>
      <c r="AJ138" s="81"/>
      <c r="AL138" s="85"/>
      <c r="AM138" s="85"/>
      <c r="AO138" s="78"/>
      <c r="AR138" s="81"/>
      <c r="AW138" s="78"/>
      <c r="AZ138" s="81"/>
      <c r="BB138" s="78"/>
      <c r="BD138" s="78"/>
      <c r="BG138" s="81"/>
      <c r="BI138" s="78"/>
      <c r="BK138" s="78"/>
      <c r="BN138" s="81"/>
      <c r="BP138" s="78"/>
      <c r="BQ138" s="78"/>
      <c r="BS138" s="78"/>
      <c r="BV138" s="81"/>
      <c r="BX138" s="78"/>
      <c r="BZ138" s="78"/>
      <c r="CA138" s="76"/>
      <c r="CB138" s="88"/>
      <c r="CC138" s="90"/>
      <c r="CD138" s="91"/>
      <c r="CE138" s="92"/>
      <c r="CF138" s="549" t="s">
        <v>282</v>
      </c>
      <c r="CG138" s="92"/>
      <c r="CH138" s="549" t="s">
        <v>283</v>
      </c>
      <c r="CI138" s="549" t="s">
        <v>283</v>
      </c>
      <c r="CJ138" s="549" t="s">
        <v>284</v>
      </c>
      <c r="CK138" s="551" t="s">
        <v>285</v>
      </c>
      <c r="CL138" s="552"/>
      <c r="CM138" s="552"/>
      <c r="CN138" s="552"/>
      <c r="CO138" s="552"/>
      <c r="CP138" s="552"/>
      <c r="CQ138" s="552"/>
      <c r="CR138" s="552"/>
      <c r="CS138" s="552"/>
      <c r="CT138" s="552"/>
      <c r="CU138" s="552"/>
      <c r="CV138" s="553"/>
      <c r="CW138" s="551" t="s">
        <v>286</v>
      </c>
      <c r="CX138" s="552"/>
      <c r="CY138" s="552"/>
      <c r="CZ138" s="552"/>
      <c r="DA138" s="552"/>
      <c r="DB138" s="552"/>
      <c r="DC138" s="552"/>
      <c r="DD138" s="552"/>
      <c r="DE138" s="552"/>
      <c r="DF138" s="552"/>
      <c r="DG138" s="552"/>
      <c r="DH138" s="553"/>
      <c r="DI138" s="91" t="s">
        <v>287</v>
      </c>
      <c r="DJ138" s="50" t="s">
        <v>288</v>
      </c>
      <c r="DK138" s="50"/>
    </row>
    <row r="139" spans="1:115" s="37" customFormat="1" ht="58.5" hidden="1" customHeight="1" thickBot="1">
      <c r="A139" s="24"/>
      <c r="X139" s="74"/>
      <c r="Z139" s="76"/>
      <c r="AA139" s="76"/>
      <c r="AB139" s="77"/>
      <c r="AC139" s="76"/>
      <c r="AD139" s="79"/>
      <c r="AE139" s="79"/>
      <c r="AF139" s="76"/>
      <c r="AG139" s="79"/>
      <c r="AH139" s="82"/>
      <c r="AI139" s="76"/>
      <c r="AJ139" s="83"/>
      <c r="AK139" s="76"/>
      <c r="AL139" s="86"/>
      <c r="AM139" s="86"/>
      <c r="AN139" s="76"/>
      <c r="AO139" s="79"/>
      <c r="AP139" s="76"/>
      <c r="AQ139" s="76"/>
      <c r="AR139" s="83"/>
      <c r="AS139" s="76"/>
      <c r="AT139" s="76"/>
      <c r="AU139" s="76"/>
      <c r="AV139" s="76"/>
      <c r="AW139" s="79"/>
      <c r="AX139" s="76"/>
      <c r="AY139" s="76"/>
      <c r="AZ139" s="83"/>
      <c r="BA139" s="76"/>
      <c r="BB139" s="79"/>
      <c r="BC139" s="76"/>
      <c r="BD139" s="79"/>
      <c r="BE139" s="76"/>
      <c r="BF139" s="76"/>
      <c r="BG139" s="83"/>
      <c r="BH139" s="76"/>
      <c r="BI139" s="79"/>
      <c r="BJ139" s="76"/>
      <c r="BK139" s="79"/>
      <c r="BL139" s="76"/>
      <c r="BM139" s="76"/>
      <c r="BN139" s="83"/>
      <c r="BO139" s="76"/>
      <c r="BP139" s="79"/>
      <c r="BQ139" s="79"/>
      <c r="BR139" s="76"/>
      <c r="BS139" s="79"/>
      <c r="BT139" s="76"/>
      <c r="BU139" s="76"/>
      <c r="BV139" s="83"/>
      <c r="BW139" s="76"/>
      <c r="BX139" s="79"/>
      <c r="BY139" s="76"/>
      <c r="BZ139" s="79"/>
      <c r="CA139" s="76"/>
      <c r="CB139" s="76"/>
      <c r="CC139" s="93"/>
      <c r="CD139" s="91" t="s">
        <v>289</v>
      </c>
      <c r="CE139" s="94" t="s">
        <v>290</v>
      </c>
      <c r="CF139" s="550"/>
      <c r="CG139" s="94" t="s">
        <v>291</v>
      </c>
      <c r="CH139" s="550"/>
      <c r="CI139" s="550"/>
      <c r="CJ139" s="550"/>
      <c r="CK139" s="108" t="s">
        <v>292</v>
      </c>
      <c r="CL139" s="108" t="s">
        <v>293</v>
      </c>
      <c r="CM139" s="94" t="s">
        <v>291</v>
      </c>
      <c r="CN139" s="108" t="s">
        <v>283</v>
      </c>
      <c r="CO139" s="108" t="s">
        <v>283</v>
      </c>
      <c r="CP139" s="108" t="s">
        <v>284</v>
      </c>
      <c r="CQ139" s="108" t="s">
        <v>294</v>
      </c>
      <c r="CR139" s="108" t="s">
        <v>295</v>
      </c>
      <c r="CS139" s="94" t="s">
        <v>291</v>
      </c>
      <c r="CT139" s="108" t="s">
        <v>283</v>
      </c>
      <c r="CU139" s="108" t="s">
        <v>283</v>
      </c>
      <c r="CV139" s="108" t="s">
        <v>284</v>
      </c>
      <c r="CW139" s="108" t="s">
        <v>292</v>
      </c>
      <c r="CX139" s="108" t="s">
        <v>293</v>
      </c>
      <c r="CY139" s="94" t="s">
        <v>291</v>
      </c>
      <c r="CZ139" s="108" t="s">
        <v>283</v>
      </c>
      <c r="DA139" s="108" t="s">
        <v>283</v>
      </c>
      <c r="DB139" s="108" t="s">
        <v>284</v>
      </c>
      <c r="DC139" s="108" t="s">
        <v>294</v>
      </c>
      <c r="DD139" s="108" t="s">
        <v>295</v>
      </c>
      <c r="DE139" s="94" t="s">
        <v>291</v>
      </c>
      <c r="DF139" s="108" t="s">
        <v>283</v>
      </c>
      <c r="DG139" s="108" t="s">
        <v>283</v>
      </c>
      <c r="DH139" s="108" t="s">
        <v>284</v>
      </c>
      <c r="DI139" s="91" t="s">
        <v>296</v>
      </c>
      <c r="DJ139" s="50" t="s">
        <v>297</v>
      </c>
      <c r="DK139" s="50" t="s">
        <v>298</v>
      </c>
    </row>
    <row r="140" spans="1:115" s="37" customFormat="1" ht="16.5" hidden="1" customHeight="1" thickBot="1">
      <c r="A140" s="24"/>
      <c r="X140" s="74"/>
      <c r="Z140" s="76"/>
      <c r="AA140" s="76"/>
      <c r="AB140" s="77"/>
      <c r="AC140" s="76"/>
      <c r="AD140" s="79"/>
      <c r="AE140" s="79"/>
      <c r="AF140" s="76"/>
      <c r="AG140" s="79"/>
      <c r="AH140" s="82"/>
      <c r="AI140" s="76"/>
      <c r="AJ140" s="83"/>
      <c r="AK140" s="76"/>
      <c r="AL140" s="86"/>
      <c r="AM140" s="86"/>
      <c r="AN140" s="76"/>
      <c r="AO140" s="79"/>
      <c r="AP140" s="76"/>
      <c r="AQ140" s="76"/>
      <c r="AR140" s="83"/>
      <c r="AS140" s="76"/>
      <c r="AT140" s="76"/>
      <c r="AU140" s="76"/>
      <c r="AV140" s="76"/>
      <c r="AW140" s="79"/>
      <c r="AX140" s="76"/>
      <c r="AY140" s="76"/>
      <c r="AZ140" s="83"/>
      <c r="BA140" s="76"/>
      <c r="BB140" s="79"/>
      <c r="BC140" s="76"/>
      <c r="BD140" s="79"/>
      <c r="BE140" s="76"/>
      <c r="BF140" s="76"/>
      <c r="BG140" s="83"/>
      <c r="BH140" s="76"/>
      <c r="BI140" s="79"/>
      <c r="BJ140" s="76"/>
      <c r="BK140" s="79"/>
      <c r="BL140" s="76"/>
      <c r="BM140" s="76"/>
      <c r="BN140" s="83"/>
      <c r="BO140" s="76"/>
      <c r="BP140" s="79"/>
      <c r="BQ140" s="79"/>
      <c r="BR140" s="76"/>
      <c r="BS140" s="79"/>
      <c r="BT140" s="76"/>
      <c r="BU140" s="76"/>
      <c r="BV140" s="83"/>
      <c r="BW140" s="76"/>
      <c r="BX140" s="79"/>
      <c r="BY140" s="76"/>
      <c r="BZ140" s="79"/>
      <c r="CA140" s="76"/>
      <c r="CB140" s="76"/>
      <c r="CC140" s="95"/>
      <c r="CD140" s="96" t="s">
        <v>299</v>
      </c>
      <c r="CE140" s="97" t="s">
        <v>300</v>
      </c>
      <c r="CF140" s="97">
        <f>(112000*26.7)/1000</f>
        <v>2990.4</v>
      </c>
      <c r="CG140" s="97" t="s">
        <v>301</v>
      </c>
      <c r="CH140" s="104">
        <v>0.05</v>
      </c>
      <c r="CI140" s="104">
        <v>0.05</v>
      </c>
      <c r="CJ140" s="104" t="s">
        <v>302</v>
      </c>
      <c r="CK140" s="97">
        <v>28.760200000000001</v>
      </c>
      <c r="CL140" s="97">
        <f>CK140/1000</f>
        <v>2.87602E-2</v>
      </c>
      <c r="CM140" s="97" t="s">
        <v>303</v>
      </c>
      <c r="CN140" s="105">
        <v>0.3</v>
      </c>
      <c r="CO140" s="105">
        <v>3</v>
      </c>
      <c r="CP140" s="97" t="s">
        <v>302</v>
      </c>
      <c r="CQ140" s="97">
        <v>43.1404</v>
      </c>
      <c r="CR140" s="97">
        <f>CQ140/1000</f>
        <v>4.3140400000000002E-2</v>
      </c>
      <c r="CS140" s="97" t="s">
        <v>304</v>
      </c>
      <c r="CT140" s="105">
        <v>0.33333333333333298</v>
      </c>
      <c r="CU140" s="105">
        <v>3.3333333333333299</v>
      </c>
      <c r="CV140" s="97" t="s">
        <v>302</v>
      </c>
      <c r="CW140" s="97">
        <v>0</v>
      </c>
      <c r="CX140" s="97">
        <f>CW140/1000</f>
        <v>0</v>
      </c>
      <c r="CY140" s="97" t="s">
        <v>303</v>
      </c>
      <c r="CZ140" s="105">
        <v>0</v>
      </c>
      <c r="DA140" s="105">
        <v>0</v>
      </c>
      <c r="DB140" s="97" t="s">
        <v>302</v>
      </c>
      <c r="DC140" s="97">
        <v>0</v>
      </c>
      <c r="DD140" s="97">
        <f>DC140/1000</f>
        <v>0</v>
      </c>
      <c r="DE140" s="97" t="s">
        <v>304</v>
      </c>
      <c r="DF140" s="105">
        <v>0</v>
      </c>
      <c r="DG140" s="105">
        <v>0</v>
      </c>
      <c r="DH140" s="97" t="s">
        <v>302</v>
      </c>
      <c r="DI140" s="97"/>
      <c r="DJ140" s="50">
        <f>CH140</f>
        <v>0.05</v>
      </c>
      <c r="DK140" s="50">
        <f>CI140</f>
        <v>0.05</v>
      </c>
    </row>
    <row r="141" spans="1:115" s="37" customFormat="1" ht="16.5" hidden="1" customHeight="1" thickBot="1">
      <c r="A141" s="24"/>
      <c r="X141" s="74"/>
      <c r="AB141" s="75"/>
      <c r="AD141" s="78"/>
      <c r="AE141" s="78"/>
      <c r="AG141" s="78"/>
      <c r="AH141" s="80"/>
      <c r="AJ141" s="81"/>
      <c r="AL141" s="85"/>
      <c r="AM141" s="85"/>
      <c r="AO141" s="78"/>
      <c r="AR141" s="81"/>
      <c r="AW141" s="78"/>
      <c r="AZ141" s="81"/>
      <c r="BB141" s="78"/>
      <c r="BD141" s="78"/>
      <c r="BG141" s="81"/>
      <c r="BI141" s="78"/>
      <c r="BK141" s="78"/>
      <c r="BN141" s="81"/>
      <c r="BP141" s="78"/>
      <c r="BQ141" s="78"/>
      <c r="BS141" s="78"/>
      <c r="BV141" s="81"/>
      <c r="BX141" s="78"/>
      <c r="BZ141" s="78"/>
      <c r="CC141" s="98"/>
      <c r="CD141" s="99" t="s">
        <v>305</v>
      </c>
      <c r="CE141" s="97" t="s">
        <v>306</v>
      </c>
      <c r="CF141" s="97">
        <f>(107000*28.2)/1000</f>
        <v>3017.4</v>
      </c>
      <c r="CG141" s="97" t="s">
        <v>301</v>
      </c>
      <c r="CH141" s="104">
        <v>0.05</v>
      </c>
      <c r="CI141" s="104">
        <v>0.05</v>
      </c>
      <c r="CJ141" s="104" t="s">
        <v>302</v>
      </c>
      <c r="CK141" s="109">
        <f>1*28.2</f>
        <v>28.2</v>
      </c>
      <c r="CL141" s="97">
        <f>CK141/1000</f>
        <v>2.8199999999999999E-2</v>
      </c>
      <c r="CM141" s="97" t="s">
        <v>303</v>
      </c>
      <c r="CN141" s="105">
        <v>0.3</v>
      </c>
      <c r="CO141" s="105">
        <v>3</v>
      </c>
      <c r="CP141" s="97" t="s">
        <v>302</v>
      </c>
      <c r="CQ141" s="101">
        <f>1.5*28.2</f>
        <v>42.3</v>
      </c>
      <c r="CR141" s="97">
        <f>CQ141/1000</f>
        <v>4.2299999999999997E-2</v>
      </c>
      <c r="CS141" s="97" t="s">
        <v>304</v>
      </c>
      <c r="CT141" s="105">
        <v>0.33333333333333298</v>
      </c>
      <c r="CU141" s="105">
        <v>3.3333333333333299</v>
      </c>
      <c r="CV141" s="97" t="s">
        <v>302</v>
      </c>
      <c r="CW141" s="97">
        <v>0</v>
      </c>
      <c r="CX141" s="97">
        <f>CW141/1000</f>
        <v>0</v>
      </c>
      <c r="CY141" s="97" t="s">
        <v>303</v>
      </c>
      <c r="CZ141" s="105">
        <v>0</v>
      </c>
      <c r="DA141" s="105">
        <v>0</v>
      </c>
      <c r="DB141" s="97" t="s">
        <v>302</v>
      </c>
      <c r="DC141" s="101">
        <v>0</v>
      </c>
      <c r="DD141" s="97">
        <f>DC141/1000</f>
        <v>0</v>
      </c>
      <c r="DE141" s="97" t="s">
        <v>304</v>
      </c>
      <c r="DF141" s="105">
        <v>0</v>
      </c>
      <c r="DG141" s="105">
        <v>0</v>
      </c>
      <c r="DH141" s="97" t="s">
        <v>302</v>
      </c>
      <c r="DI141" s="111"/>
      <c r="DJ141" s="50">
        <f t="shared" ref="DJ141:DJ166" si="518">CH141</f>
        <v>0.05</v>
      </c>
      <c r="DK141" s="50">
        <f t="shared" ref="DK141:DK166" si="519">CI141</f>
        <v>0.05</v>
      </c>
    </row>
    <row r="142" spans="1:115" s="37" customFormat="1" ht="16.5" hidden="1" customHeight="1" thickBot="1">
      <c r="A142" s="24"/>
      <c r="X142" s="74"/>
      <c r="AB142" s="75"/>
      <c r="AD142" s="78"/>
      <c r="AE142" s="78"/>
      <c r="AG142" s="78"/>
      <c r="AH142" s="80"/>
      <c r="AJ142" s="81"/>
      <c r="AL142" s="85"/>
      <c r="AM142" s="85"/>
      <c r="AO142" s="78"/>
      <c r="AR142" s="81"/>
      <c r="AW142" s="78"/>
      <c r="AZ142" s="81"/>
      <c r="BB142" s="78"/>
      <c r="BD142" s="78"/>
      <c r="BG142" s="81"/>
      <c r="BI142" s="78"/>
      <c r="BK142" s="78"/>
      <c r="BN142" s="81"/>
      <c r="BP142" s="78"/>
      <c r="BQ142" s="78"/>
      <c r="BS142" s="78"/>
      <c r="BV142" s="81"/>
      <c r="BX142" s="78"/>
      <c r="BZ142" s="78"/>
      <c r="CC142" s="95"/>
      <c r="CD142" s="99" t="s">
        <v>307</v>
      </c>
      <c r="CE142" s="97" t="s">
        <v>306</v>
      </c>
      <c r="CF142" s="97">
        <f>(97500*32.5)/1000</f>
        <v>3168.75</v>
      </c>
      <c r="CG142" s="97" t="s">
        <v>301</v>
      </c>
      <c r="CH142" s="104">
        <v>0.05</v>
      </c>
      <c r="CI142" s="104">
        <v>0.05</v>
      </c>
      <c r="CJ142" s="104" t="s">
        <v>302</v>
      </c>
      <c r="CK142" s="109">
        <v>509.37279999999998</v>
      </c>
      <c r="CL142" s="97">
        <f t="shared" ref="CL142:CL145" si="520">CK142/1000</f>
        <v>0.50937279999999996</v>
      </c>
      <c r="CM142" s="97" t="s">
        <v>303</v>
      </c>
      <c r="CN142" s="105">
        <v>0.33333333333333298</v>
      </c>
      <c r="CO142" s="105">
        <v>3.3333333333333299</v>
      </c>
      <c r="CP142" s="97" t="s">
        <v>302</v>
      </c>
      <c r="CQ142" s="101">
        <v>67.916399999999996</v>
      </c>
      <c r="CR142" s="97">
        <f t="shared" ref="CR142:CR145" si="521">CQ142/1000</f>
        <v>6.7916400000000002E-2</v>
      </c>
      <c r="CS142" s="97" t="s">
        <v>304</v>
      </c>
      <c r="CT142" s="105">
        <v>0.375</v>
      </c>
      <c r="CU142" s="105">
        <v>3.75</v>
      </c>
      <c r="CV142" s="97" t="s">
        <v>302</v>
      </c>
      <c r="CW142" s="97">
        <v>0</v>
      </c>
      <c r="CX142" s="97">
        <f t="shared" ref="CX142:CX145" si="522">CW142/1000</f>
        <v>0</v>
      </c>
      <c r="CY142" s="97" t="s">
        <v>303</v>
      </c>
      <c r="CZ142" s="105">
        <v>0</v>
      </c>
      <c r="DA142" s="105">
        <v>0</v>
      </c>
      <c r="DB142" s="97" t="s">
        <v>302</v>
      </c>
      <c r="DC142" s="101">
        <v>0</v>
      </c>
      <c r="DD142" s="97">
        <f t="shared" ref="DD142:DD145" si="523">DC142/1000</f>
        <v>0</v>
      </c>
      <c r="DE142" s="97" t="s">
        <v>304</v>
      </c>
      <c r="DF142" s="105">
        <v>0</v>
      </c>
      <c r="DG142" s="105">
        <v>0</v>
      </c>
      <c r="DH142" s="97" t="s">
        <v>302</v>
      </c>
      <c r="DI142" s="111"/>
      <c r="DJ142" s="50">
        <f t="shared" si="518"/>
        <v>0.05</v>
      </c>
      <c r="DK142" s="50">
        <f t="shared" si="519"/>
        <v>0.05</v>
      </c>
    </row>
    <row r="143" spans="1:115" s="37" customFormat="1" ht="16.5" hidden="1" customHeight="1" thickBot="1">
      <c r="A143" s="24"/>
      <c r="X143" s="74"/>
      <c r="AB143" s="75"/>
      <c r="AD143" s="78"/>
      <c r="AE143" s="78"/>
      <c r="AG143" s="78"/>
      <c r="AH143" s="80"/>
      <c r="AJ143" s="81"/>
      <c r="AL143" s="85"/>
      <c r="AM143" s="85"/>
      <c r="AO143" s="78"/>
      <c r="AR143" s="81"/>
      <c r="AW143" s="78"/>
      <c r="AZ143" s="81"/>
      <c r="BB143" s="78"/>
      <c r="BD143" s="78"/>
      <c r="BG143" s="81"/>
      <c r="BI143" s="78"/>
      <c r="BK143" s="78"/>
      <c r="BN143" s="81"/>
      <c r="BP143" s="78"/>
      <c r="BQ143" s="78"/>
      <c r="BS143" s="78"/>
      <c r="BV143" s="81"/>
      <c r="BX143" s="78"/>
      <c r="BZ143" s="78"/>
      <c r="CC143" s="95"/>
      <c r="CD143" s="99" t="s">
        <v>308</v>
      </c>
      <c r="CE143" s="97" t="s">
        <v>306</v>
      </c>
      <c r="CF143" s="100">
        <v>0</v>
      </c>
      <c r="CG143" s="97" t="s">
        <v>301</v>
      </c>
      <c r="CH143" s="104">
        <v>0.05</v>
      </c>
      <c r="CI143" s="104">
        <v>0.05</v>
      </c>
      <c r="CJ143" s="104" t="s">
        <v>302</v>
      </c>
      <c r="CK143" s="109">
        <v>554.66999999999996</v>
      </c>
      <c r="CL143" s="97">
        <f t="shared" si="520"/>
        <v>0.55467</v>
      </c>
      <c r="CM143" s="97" t="s">
        <v>303</v>
      </c>
      <c r="CN143" s="105">
        <v>0.33333333333333298</v>
      </c>
      <c r="CO143" s="105">
        <v>3.3333333333333299</v>
      </c>
      <c r="CP143" s="97" t="s">
        <v>302</v>
      </c>
      <c r="CQ143" s="101">
        <v>73.956000000000003</v>
      </c>
      <c r="CR143" s="97">
        <f t="shared" si="521"/>
        <v>7.3956000000000008E-2</v>
      </c>
      <c r="CS143" s="97" t="s">
        <v>304</v>
      </c>
      <c r="CT143" s="105">
        <v>0.375</v>
      </c>
      <c r="CU143" s="105">
        <v>3.75</v>
      </c>
      <c r="CV143" s="97" t="s">
        <v>302</v>
      </c>
      <c r="CW143" s="97">
        <v>0</v>
      </c>
      <c r="CX143" s="97">
        <f t="shared" si="522"/>
        <v>0</v>
      </c>
      <c r="CY143" s="97" t="s">
        <v>303</v>
      </c>
      <c r="CZ143" s="105">
        <v>0</v>
      </c>
      <c r="DA143" s="105">
        <v>0</v>
      </c>
      <c r="DB143" s="97" t="s">
        <v>302</v>
      </c>
      <c r="DC143" s="101">
        <v>0</v>
      </c>
      <c r="DD143" s="97">
        <f t="shared" si="523"/>
        <v>0</v>
      </c>
      <c r="DE143" s="97" t="s">
        <v>304</v>
      </c>
      <c r="DF143" s="105">
        <v>0</v>
      </c>
      <c r="DG143" s="105">
        <v>0</v>
      </c>
      <c r="DH143" s="97" t="s">
        <v>302</v>
      </c>
      <c r="DI143" s="97">
        <f>(112000*15.6)/1000</f>
        <v>1747.2</v>
      </c>
      <c r="DJ143" s="50">
        <f t="shared" si="518"/>
        <v>0.05</v>
      </c>
      <c r="DK143" s="50">
        <f t="shared" si="519"/>
        <v>0.05</v>
      </c>
    </row>
    <row r="144" spans="1:115" s="37" customFormat="1" ht="16.5" hidden="1" customHeight="1" thickBot="1">
      <c r="A144" s="24"/>
      <c r="X144" s="74"/>
      <c r="AB144" s="75"/>
      <c r="AD144" s="78"/>
      <c r="AE144" s="78"/>
      <c r="AG144" s="78"/>
      <c r="AH144" s="80"/>
      <c r="AJ144" s="81"/>
      <c r="AL144" s="85"/>
      <c r="AM144" s="85"/>
      <c r="AO144" s="78"/>
      <c r="AR144" s="81"/>
      <c r="AW144" s="78"/>
      <c r="AZ144" s="81"/>
      <c r="BB144" s="78"/>
      <c r="BD144" s="78"/>
      <c r="BG144" s="81"/>
      <c r="BI144" s="78"/>
      <c r="BK144" s="78"/>
      <c r="BN144" s="81"/>
      <c r="BP144" s="78"/>
      <c r="BQ144" s="78"/>
      <c r="BS144" s="78"/>
      <c r="BV144" s="81"/>
      <c r="BX144" s="78"/>
      <c r="BZ144" s="78"/>
      <c r="CC144" s="95"/>
      <c r="CD144" s="99" t="s">
        <v>309</v>
      </c>
      <c r="CE144" s="97" t="s">
        <v>306</v>
      </c>
      <c r="CF144" s="100">
        <v>0</v>
      </c>
      <c r="CG144" s="97" t="s">
        <v>301</v>
      </c>
      <c r="CH144" s="104">
        <v>0.05</v>
      </c>
      <c r="CI144" s="104">
        <v>0.05</v>
      </c>
      <c r="CJ144" s="104" t="s">
        <v>302</v>
      </c>
      <c r="CK144" s="109">
        <v>569.07000000000005</v>
      </c>
      <c r="CL144" s="97">
        <f t="shared" si="520"/>
        <v>0.56907000000000008</v>
      </c>
      <c r="CM144" s="97" t="s">
        <v>303</v>
      </c>
      <c r="CN144" s="105">
        <v>0.33333333333333298</v>
      </c>
      <c r="CO144" s="105">
        <v>3.3333333333333299</v>
      </c>
      <c r="CP144" s="97" t="s">
        <v>302</v>
      </c>
      <c r="CQ144" s="101">
        <v>75.876000000000005</v>
      </c>
      <c r="CR144" s="97">
        <f t="shared" si="521"/>
        <v>7.5875999999999999E-2</v>
      </c>
      <c r="CS144" s="97" t="s">
        <v>304</v>
      </c>
      <c r="CT144" s="105">
        <v>0.375</v>
      </c>
      <c r="CU144" s="105">
        <v>3.75</v>
      </c>
      <c r="CV144" s="97" t="s">
        <v>302</v>
      </c>
      <c r="CW144" s="97">
        <v>0</v>
      </c>
      <c r="CX144" s="97">
        <f t="shared" si="522"/>
        <v>0</v>
      </c>
      <c r="CY144" s="97" t="s">
        <v>303</v>
      </c>
      <c r="CZ144" s="105">
        <v>0</v>
      </c>
      <c r="DA144" s="105">
        <v>0</v>
      </c>
      <c r="DB144" s="97" t="s">
        <v>302</v>
      </c>
      <c r="DC144" s="101">
        <v>0</v>
      </c>
      <c r="DD144" s="97">
        <f t="shared" si="523"/>
        <v>0</v>
      </c>
      <c r="DE144" s="97" t="s">
        <v>304</v>
      </c>
      <c r="DF144" s="105">
        <v>0</v>
      </c>
      <c r="DG144" s="105">
        <v>0</v>
      </c>
      <c r="DH144" s="97" t="s">
        <v>302</v>
      </c>
      <c r="DI144" s="97">
        <f>(100000*11.6)/1000</f>
        <v>1160</v>
      </c>
      <c r="DJ144" s="50">
        <f t="shared" si="518"/>
        <v>0.05</v>
      </c>
      <c r="DK144" s="50">
        <f t="shared" si="519"/>
        <v>0.05</v>
      </c>
    </row>
    <row r="145" spans="1:115" s="37" customFormat="1" ht="16.5" hidden="1" customHeight="1" thickBot="1">
      <c r="A145" s="24"/>
      <c r="X145" s="74"/>
      <c r="AB145" s="75"/>
      <c r="AD145" s="78"/>
      <c r="AE145" s="78"/>
      <c r="AG145" s="78"/>
      <c r="AH145" s="80"/>
      <c r="AJ145" s="81"/>
      <c r="AL145" s="85"/>
      <c r="AM145" s="85"/>
      <c r="AO145" s="78"/>
      <c r="AR145" s="81"/>
      <c r="AW145" s="78"/>
      <c r="AZ145" s="81"/>
      <c r="BB145" s="78"/>
      <c r="BD145" s="78"/>
      <c r="BG145" s="81"/>
      <c r="BI145" s="78"/>
      <c r="BK145" s="78"/>
      <c r="BN145" s="81"/>
      <c r="BP145" s="78"/>
      <c r="BQ145" s="78"/>
      <c r="BS145" s="78"/>
      <c r="BV145" s="81"/>
      <c r="BX145" s="78"/>
      <c r="BZ145" s="78"/>
      <c r="CC145" s="95"/>
      <c r="CD145" s="99" t="s">
        <v>310</v>
      </c>
      <c r="CE145" s="97" t="s">
        <v>306</v>
      </c>
      <c r="CF145" s="100">
        <v>0</v>
      </c>
      <c r="CG145" s="97" t="s">
        <v>301</v>
      </c>
      <c r="CH145" s="104">
        <v>0.05</v>
      </c>
      <c r="CI145" s="104">
        <v>0.05</v>
      </c>
      <c r="CJ145" s="104" t="s">
        <v>302</v>
      </c>
      <c r="CK145" s="109">
        <v>560.82000000000005</v>
      </c>
      <c r="CL145" s="97">
        <f t="shared" si="520"/>
        <v>0.5608200000000001</v>
      </c>
      <c r="CM145" s="97" t="s">
        <v>303</v>
      </c>
      <c r="CN145" s="105">
        <v>0.33333333333333298</v>
      </c>
      <c r="CO145" s="105">
        <v>3.3333333333333299</v>
      </c>
      <c r="CP145" s="97" t="s">
        <v>302</v>
      </c>
      <c r="CQ145" s="101">
        <v>74.775999999999996</v>
      </c>
      <c r="CR145" s="97">
        <f t="shared" si="521"/>
        <v>7.4775999999999995E-2</v>
      </c>
      <c r="CS145" s="97" t="s">
        <v>304</v>
      </c>
      <c r="CT145" s="105">
        <v>0.375</v>
      </c>
      <c r="CU145" s="105">
        <v>3.75</v>
      </c>
      <c r="CV145" s="97" t="s">
        <v>302</v>
      </c>
      <c r="CW145" s="97">
        <v>0</v>
      </c>
      <c r="CX145" s="97">
        <f t="shared" si="522"/>
        <v>0</v>
      </c>
      <c r="CY145" s="97" t="s">
        <v>303</v>
      </c>
      <c r="CZ145" s="105">
        <v>0</v>
      </c>
      <c r="DA145" s="105">
        <v>0</v>
      </c>
      <c r="DB145" s="97" t="s">
        <v>302</v>
      </c>
      <c r="DC145" s="101">
        <v>0</v>
      </c>
      <c r="DD145" s="97">
        <f t="shared" si="523"/>
        <v>0</v>
      </c>
      <c r="DE145" s="97" t="s">
        <v>304</v>
      </c>
      <c r="DF145" s="105">
        <v>0</v>
      </c>
      <c r="DG145" s="105">
        <v>0</v>
      </c>
      <c r="DH145" s="97" t="s">
        <v>302</v>
      </c>
      <c r="DI145" s="97">
        <f>(112000*29.5)/1000</f>
        <v>3304</v>
      </c>
      <c r="DJ145" s="50">
        <f t="shared" si="518"/>
        <v>0.05</v>
      </c>
      <c r="DK145" s="50">
        <f t="shared" si="519"/>
        <v>0.05</v>
      </c>
    </row>
    <row r="146" spans="1:115" s="37" customFormat="1" ht="16.5" hidden="1" customHeight="1">
      <c r="A146" s="24"/>
      <c r="X146" s="74"/>
      <c r="AB146" s="75"/>
      <c r="AD146" s="78"/>
      <c r="AE146" s="78"/>
      <c r="AG146" s="78"/>
      <c r="AH146" s="80"/>
      <c r="AJ146" s="81"/>
      <c r="AL146" s="85"/>
      <c r="AM146" s="85"/>
      <c r="AO146" s="78"/>
      <c r="AR146" s="81"/>
      <c r="AW146" s="78"/>
      <c r="AZ146" s="81"/>
      <c r="BB146" s="78"/>
      <c r="BD146" s="78"/>
      <c r="BG146" s="81"/>
      <c r="BI146" s="78"/>
      <c r="BK146" s="78"/>
      <c r="BN146" s="81"/>
      <c r="BP146" s="78"/>
      <c r="BQ146" s="78"/>
      <c r="BS146" s="78"/>
      <c r="BV146" s="81"/>
      <c r="BX146" s="78"/>
      <c r="BZ146" s="78"/>
      <c r="CC146" s="45"/>
      <c r="CD146" s="36"/>
      <c r="CE146" s="46"/>
      <c r="CF146" s="46"/>
      <c r="CG146" s="46"/>
      <c r="CH146" s="47"/>
      <c r="CI146" s="47"/>
      <c r="CJ146" s="47"/>
      <c r="CK146" s="110"/>
      <c r="CL146" s="110"/>
      <c r="CM146" s="110"/>
      <c r="CN146" s="110"/>
      <c r="CO146" s="110"/>
      <c r="CP146" s="110"/>
      <c r="CQ146" s="46"/>
      <c r="CR146" s="110"/>
      <c r="CS146" s="110"/>
      <c r="CT146" s="46"/>
      <c r="CU146" s="46"/>
      <c r="CV146" s="46"/>
      <c r="CW146" s="48"/>
      <c r="CX146" s="110"/>
      <c r="CY146" s="110"/>
      <c r="CZ146" s="48"/>
      <c r="DA146" s="48"/>
      <c r="DB146" s="48"/>
      <c r="DC146" s="48"/>
      <c r="DD146" s="110"/>
      <c r="DE146" s="110"/>
      <c r="DF146" s="48"/>
      <c r="DG146" s="48"/>
      <c r="DH146" s="48"/>
      <c r="DI146" s="49"/>
      <c r="DJ146" s="50">
        <f t="shared" si="518"/>
        <v>0</v>
      </c>
      <c r="DK146" s="50">
        <f t="shared" si="519"/>
        <v>0</v>
      </c>
    </row>
    <row r="147" spans="1:115" s="37" customFormat="1" ht="16.5" hidden="1" customHeight="1" thickBot="1">
      <c r="A147" s="24"/>
      <c r="X147" s="74"/>
      <c r="AB147" s="75"/>
      <c r="AD147" s="78"/>
      <c r="AE147" s="78"/>
      <c r="AG147" s="78"/>
      <c r="AH147" s="80"/>
      <c r="AJ147" s="81"/>
      <c r="AL147" s="85"/>
      <c r="AM147" s="85"/>
      <c r="AO147" s="78"/>
      <c r="AR147" s="81"/>
      <c r="AW147" s="78"/>
      <c r="AZ147" s="81"/>
      <c r="BB147" s="78"/>
      <c r="BD147" s="78"/>
      <c r="BG147" s="81"/>
      <c r="BI147" s="78"/>
      <c r="BK147" s="78"/>
      <c r="BN147" s="81"/>
      <c r="BP147" s="78"/>
      <c r="BQ147" s="78"/>
      <c r="BS147" s="78"/>
      <c r="BV147" s="81"/>
      <c r="BX147" s="78"/>
      <c r="BZ147" s="78"/>
      <c r="CC147" s="45"/>
      <c r="CD147" s="36"/>
      <c r="CE147" s="46"/>
      <c r="CF147" s="46"/>
      <c r="CG147" s="46"/>
      <c r="CH147" s="47"/>
      <c r="CI147" s="47"/>
      <c r="CJ147" s="47"/>
      <c r="CK147" s="110"/>
      <c r="CL147" s="110"/>
      <c r="CM147" s="110"/>
      <c r="CN147" s="110"/>
      <c r="CO147" s="110"/>
      <c r="CP147" s="110"/>
      <c r="CQ147" s="46"/>
      <c r="CR147" s="110"/>
      <c r="CS147" s="110"/>
      <c r="CT147" s="46"/>
      <c r="CU147" s="46"/>
      <c r="CV147" s="46"/>
      <c r="CW147" s="48"/>
      <c r="CX147" s="110"/>
      <c r="CY147" s="110"/>
      <c r="CZ147" s="48"/>
      <c r="DA147" s="48"/>
      <c r="DB147" s="48"/>
      <c r="DC147" s="48"/>
      <c r="DD147" s="110"/>
      <c r="DE147" s="110"/>
      <c r="DF147" s="48"/>
      <c r="DG147" s="48"/>
      <c r="DH147" s="48"/>
      <c r="DI147" s="49"/>
      <c r="DJ147" s="50">
        <f t="shared" si="518"/>
        <v>0</v>
      </c>
      <c r="DK147" s="50">
        <f t="shared" si="519"/>
        <v>0</v>
      </c>
    </row>
    <row r="148" spans="1:115" s="37" customFormat="1" ht="26.25" hidden="1" customHeight="1" thickBot="1">
      <c r="A148" s="24"/>
      <c r="X148" s="74"/>
      <c r="AB148" s="75"/>
      <c r="AD148" s="78"/>
      <c r="AE148" s="78"/>
      <c r="AG148" s="78"/>
      <c r="AH148" s="80"/>
      <c r="AJ148" s="81"/>
      <c r="AL148" s="85"/>
      <c r="AM148" s="85"/>
      <c r="AO148" s="78"/>
      <c r="AR148" s="81"/>
      <c r="AW148" s="78"/>
      <c r="AZ148" s="81"/>
      <c r="BB148" s="78"/>
      <c r="BD148" s="78"/>
      <c r="BG148" s="81"/>
      <c r="BI148" s="78"/>
      <c r="BK148" s="78"/>
      <c r="BN148" s="81"/>
      <c r="BP148" s="78"/>
      <c r="BQ148" s="78"/>
      <c r="BS148" s="78"/>
      <c r="BV148" s="81"/>
      <c r="BX148" s="78"/>
      <c r="BZ148" s="78"/>
      <c r="CC148" s="45"/>
      <c r="CD148" s="549" t="s">
        <v>311</v>
      </c>
      <c r="CE148" s="92"/>
      <c r="CF148" s="549" t="s">
        <v>312</v>
      </c>
      <c r="CG148" s="92"/>
      <c r="CH148" s="549" t="s">
        <v>283</v>
      </c>
      <c r="CI148" s="549" t="s">
        <v>283</v>
      </c>
      <c r="CJ148" s="549" t="s">
        <v>284</v>
      </c>
      <c r="CK148" s="551" t="s">
        <v>285</v>
      </c>
      <c r="CL148" s="552"/>
      <c r="CM148" s="552"/>
      <c r="CN148" s="552"/>
      <c r="CO148" s="552"/>
      <c r="CP148" s="552"/>
      <c r="CQ148" s="552"/>
      <c r="CR148" s="552"/>
      <c r="CS148" s="552"/>
      <c r="CT148" s="552"/>
      <c r="CU148" s="552"/>
      <c r="CV148" s="553"/>
      <c r="CW148" s="551" t="s">
        <v>286</v>
      </c>
      <c r="CX148" s="552"/>
      <c r="CY148" s="552"/>
      <c r="CZ148" s="552"/>
      <c r="DA148" s="552"/>
      <c r="DB148" s="552"/>
      <c r="DC148" s="552"/>
      <c r="DD148" s="552"/>
      <c r="DE148" s="552"/>
      <c r="DF148" s="552"/>
      <c r="DG148" s="552"/>
      <c r="DH148" s="553"/>
      <c r="DI148" s="91" t="s">
        <v>287</v>
      </c>
      <c r="DJ148" s="50" t="str">
        <f t="shared" si="518"/>
        <v>Incertidumbre (+/- %)</v>
      </c>
      <c r="DK148" s="50" t="str">
        <f t="shared" si="519"/>
        <v>Incertidumbre (+/- %)</v>
      </c>
    </row>
    <row r="149" spans="1:115" s="37" customFormat="1" ht="58.5" hidden="1" customHeight="1" thickBot="1">
      <c r="A149" s="24"/>
      <c r="X149" s="74"/>
      <c r="AB149" s="75"/>
      <c r="AD149" s="78"/>
      <c r="AE149" s="78"/>
      <c r="AG149" s="78"/>
      <c r="AH149" s="80"/>
      <c r="AJ149" s="81"/>
      <c r="AL149" s="85"/>
      <c r="AM149" s="85"/>
      <c r="AO149" s="78"/>
      <c r="AR149" s="81"/>
      <c r="AW149" s="78"/>
      <c r="AZ149" s="81"/>
      <c r="BB149" s="78"/>
      <c r="BD149" s="78"/>
      <c r="BG149" s="81"/>
      <c r="BI149" s="78"/>
      <c r="BK149" s="78"/>
      <c r="BN149" s="81"/>
      <c r="BP149" s="78"/>
      <c r="BQ149" s="78"/>
      <c r="BS149" s="78"/>
      <c r="BV149" s="81"/>
      <c r="BX149" s="78"/>
      <c r="BZ149" s="78"/>
      <c r="CC149" s="45"/>
      <c r="CD149" s="550"/>
      <c r="CE149" s="94" t="s">
        <v>290</v>
      </c>
      <c r="CF149" s="550"/>
      <c r="CG149" s="94" t="s">
        <v>291</v>
      </c>
      <c r="CH149" s="550"/>
      <c r="CI149" s="550"/>
      <c r="CJ149" s="550"/>
      <c r="CK149" s="108" t="s">
        <v>313</v>
      </c>
      <c r="CL149" s="108" t="s">
        <v>314</v>
      </c>
      <c r="CM149" s="94" t="s">
        <v>291</v>
      </c>
      <c r="CN149" s="108" t="s">
        <v>283</v>
      </c>
      <c r="CO149" s="108" t="s">
        <v>283</v>
      </c>
      <c r="CP149" s="108" t="s">
        <v>284</v>
      </c>
      <c r="CQ149" s="108" t="s">
        <v>315</v>
      </c>
      <c r="CR149" s="108" t="s">
        <v>316</v>
      </c>
      <c r="CS149" s="94" t="s">
        <v>291</v>
      </c>
      <c r="CT149" s="108" t="s">
        <v>283</v>
      </c>
      <c r="CU149" s="108" t="s">
        <v>283</v>
      </c>
      <c r="CV149" s="108" t="s">
        <v>284</v>
      </c>
      <c r="CW149" s="108" t="s">
        <v>313</v>
      </c>
      <c r="CX149" s="108" t="s">
        <v>314</v>
      </c>
      <c r="CY149" s="94" t="s">
        <v>291</v>
      </c>
      <c r="CZ149" s="108" t="s">
        <v>283</v>
      </c>
      <c r="DA149" s="108" t="s">
        <v>283</v>
      </c>
      <c r="DB149" s="108" t="s">
        <v>284</v>
      </c>
      <c r="DC149" s="108" t="s">
        <v>315</v>
      </c>
      <c r="DD149" s="108" t="s">
        <v>316</v>
      </c>
      <c r="DE149" s="94" t="s">
        <v>291</v>
      </c>
      <c r="DF149" s="108" t="s">
        <v>283</v>
      </c>
      <c r="DG149" s="108" t="s">
        <v>283</v>
      </c>
      <c r="DH149" s="108" t="s">
        <v>284</v>
      </c>
      <c r="DI149" s="91" t="s">
        <v>296</v>
      </c>
      <c r="DJ149" s="50">
        <f t="shared" si="518"/>
        <v>0</v>
      </c>
      <c r="DK149" s="50">
        <f t="shared" si="519"/>
        <v>0</v>
      </c>
    </row>
    <row r="150" spans="1:115" s="37" customFormat="1" ht="16.5" hidden="1" customHeight="1" thickBot="1">
      <c r="A150" s="24"/>
      <c r="X150" s="74"/>
      <c r="AB150" s="75"/>
      <c r="AD150" s="78"/>
      <c r="AE150" s="78"/>
      <c r="AG150" s="84"/>
      <c r="AH150" s="80"/>
      <c r="AJ150" s="81"/>
      <c r="AL150" s="85"/>
      <c r="AM150" s="85"/>
      <c r="AO150" s="84"/>
      <c r="AR150" s="81"/>
      <c r="AW150" s="84"/>
      <c r="AZ150" s="81"/>
      <c r="BB150" s="78"/>
      <c r="BD150" s="84"/>
      <c r="BG150" s="81"/>
      <c r="BI150" s="78"/>
      <c r="BK150" s="84"/>
      <c r="BN150" s="81"/>
      <c r="BP150" s="78"/>
      <c r="BQ150" s="78"/>
      <c r="BR150" s="87"/>
      <c r="BS150" s="84"/>
      <c r="BV150" s="81"/>
      <c r="BX150" s="78"/>
      <c r="BY150" s="87"/>
      <c r="BZ150" s="84"/>
      <c r="CC150" s="95"/>
      <c r="CD150" s="99" t="s">
        <v>317</v>
      </c>
      <c r="CE150" s="101" t="s">
        <v>318</v>
      </c>
      <c r="CF150" s="101">
        <f>(74100*43*0.88)/(1000000)</f>
        <v>2.803944</v>
      </c>
      <c r="CG150" s="97" t="s">
        <v>319</v>
      </c>
      <c r="CH150" s="104">
        <v>0.05</v>
      </c>
      <c r="CI150" s="104">
        <v>0.05</v>
      </c>
      <c r="CJ150" s="104" t="s">
        <v>302</v>
      </c>
      <c r="CK150" s="101">
        <f>0.01/3.785</f>
        <v>2.6420079260237781E-3</v>
      </c>
      <c r="CL150" s="109">
        <f>CK150/1000</f>
        <v>2.6420079260237779E-6</v>
      </c>
      <c r="CM150" s="97" t="s">
        <v>320</v>
      </c>
      <c r="CN150" s="105">
        <v>0.33333333333333298</v>
      </c>
      <c r="CO150" s="105">
        <v>3.3333333333333299</v>
      </c>
      <c r="CP150" s="97" t="s">
        <v>302</v>
      </c>
      <c r="CQ150" s="101">
        <f>0.006/3.785</f>
        <v>1.5852047556142669E-3</v>
      </c>
      <c r="CR150" s="109">
        <f>CQ150/(1000*3.785)</f>
        <v>4.1881235287034794E-7</v>
      </c>
      <c r="CS150" s="97" t="s">
        <v>321</v>
      </c>
      <c r="CT150" s="105">
        <v>0.33333333333333298</v>
      </c>
      <c r="CU150" s="105">
        <v>3.3333333333333299</v>
      </c>
      <c r="CV150" s="97" t="s">
        <v>302</v>
      </c>
      <c r="CW150" s="101">
        <f>0.037/3.785</f>
        <v>9.7754293262879779E-3</v>
      </c>
      <c r="CX150" s="109">
        <f>CW150/1000</f>
        <v>9.775429326287978E-6</v>
      </c>
      <c r="CY150" s="97" t="s">
        <v>320</v>
      </c>
      <c r="CZ150" s="105">
        <v>0.41025641025641002</v>
      </c>
      <c r="DA150" s="105">
        <v>2.4358974358974401</v>
      </c>
      <c r="DB150" s="97" t="s">
        <v>302</v>
      </c>
      <c r="DC150" s="101">
        <f>0.037/3.785</f>
        <v>9.7754293262879779E-3</v>
      </c>
      <c r="DD150" s="109">
        <f>DC150/1000</f>
        <v>9.775429326287978E-6</v>
      </c>
      <c r="DE150" s="97" t="s">
        <v>321</v>
      </c>
      <c r="DF150" s="105">
        <v>0.33333333333333298</v>
      </c>
      <c r="DG150" s="105">
        <v>3.0769230769230802</v>
      </c>
      <c r="DH150" s="97" t="s">
        <v>302</v>
      </c>
      <c r="DI150" s="97"/>
      <c r="DJ150" s="50">
        <f t="shared" si="518"/>
        <v>0.05</v>
      </c>
      <c r="DK150" s="50">
        <f t="shared" si="519"/>
        <v>0.05</v>
      </c>
    </row>
    <row r="151" spans="1:115" s="37" customFormat="1" ht="16.5" hidden="1" customHeight="1" thickBot="1">
      <c r="A151" s="24"/>
      <c r="X151" s="74"/>
      <c r="AB151" s="75"/>
      <c r="AD151" s="78"/>
      <c r="AE151" s="78"/>
      <c r="AG151" s="84"/>
      <c r="AH151" s="80"/>
      <c r="AJ151" s="81"/>
      <c r="AL151" s="85"/>
      <c r="AM151" s="85"/>
      <c r="AO151" s="84"/>
      <c r="AR151" s="81"/>
      <c r="AW151" s="84"/>
      <c r="AZ151" s="81"/>
      <c r="BB151" s="78"/>
      <c r="BD151" s="84"/>
      <c r="BG151" s="81"/>
      <c r="BI151" s="78"/>
      <c r="BK151" s="84"/>
      <c r="BN151" s="81"/>
      <c r="BP151" s="78"/>
      <c r="BQ151" s="78"/>
      <c r="BR151" s="87"/>
      <c r="BS151" s="84"/>
      <c r="BV151" s="81"/>
      <c r="BX151" s="78"/>
      <c r="BY151" s="87"/>
      <c r="BZ151" s="84"/>
      <c r="CC151" s="95"/>
      <c r="CD151" s="99" t="s">
        <v>322</v>
      </c>
      <c r="CE151" s="101" t="s">
        <v>318</v>
      </c>
      <c r="CF151" s="101">
        <f>(69300*44.3*0.75)/(1000000)</f>
        <v>2.3024925000000001</v>
      </c>
      <c r="CG151" s="97" t="s">
        <v>319</v>
      </c>
      <c r="CH151" s="104">
        <v>0.05</v>
      </c>
      <c r="CI151" s="104">
        <v>0.05</v>
      </c>
      <c r="CJ151" s="104" t="s">
        <v>302</v>
      </c>
      <c r="CK151" s="101">
        <f>0.0266/3.785</f>
        <v>7.0277410832232491E-3</v>
      </c>
      <c r="CL151" s="109">
        <f>CK151/1000</f>
        <v>7.0277410832232488E-6</v>
      </c>
      <c r="CM151" s="97" t="s">
        <v>320</v>
      </c>
      <c r="CN151" s="105">
        <v>0.33333333333333298</v>
      </c>
      <c r="CO151" s="105">
        <v>3.3333333333333299</v>
      </c>
      <c r="CP151" s="97" t="s">
        <v>302</v>
      </c>
      <c r="CQ151" s="101">
        <f>0.0053/3.785</f>
        <v>1.4002642007926024E-3</v>
      </c>
      <c r="CR151" s="109">
        <f>CQ151/1000</f>
        <v>1.4002642007926023E-6</v>
      </c>
      <c r="CS151" s="97" t="s">
        <v>321</v>
      </c>
      <c r="CT151" s="105">
        <v>0.33333333333333298</v>
      </c>
      <c r="CU151" s="105">
        <v>3.3333333333333299</v>
      </c>
      <c r="CV151" s="97" t="s">
        <v>302</v>
      </c>
      <c r="CW151" s="101">
        <f t="shared" ref="CW151:CW156" si="524">0.037/3.785</f>
        <v>9.7754293262879779E-3</v>
      </c>
      <c r="CX151" s="109">
        <f>CW151/1000</f>
        <v>9.775429326287978E-6</v>
      </c>
      <c r="CY151" s="97" t="s">
        <v>320</v>
      </c>
      <c r="CZ151" s="105">
        <v>0.29090909090909101</v>
      </c>
      <c r="DA151" s="105">
        <v>3.3333333333333299</v>
      </c>
      <c r="DB151" s="97" t="s">
        <v>302</v>
      </c>
      <c r="DC151" s="101">
        <f>0.0284/3.785</f>
        <v>7.5033025099075302E-3</v>
      </c>
      <c r="DD151" s="109">
        <f>DC151/1000</f>
        <v>7.5033025099075301E-6</v>
      </c>
      <c r="DE151" s="97" t="s">
        <v>321</v>
      </c>
      <c r="DF151" s="105">
        <v>0.3</v>
      </c>
      <c r="DG151" s="105">
        <v>3.4375</v>
      </c>
      <c r="DH151" s="97" t="s">
        <v>302</v>
      </c>
      <c r="DI151" s="111"/>
      <c r="DJ151" s="50">
        <f t="shared" si="518"/>
        <v>0.05</v>
      </c>
      <c r="DK151" s="50">
        <f t="shared" si="519"/>
        <v>0.05</v>
      </c>
    </row>
    <row r="152" spans="1:115" s="37" customFormat="1" ht="16.5" hidden="1" customHeight="1" thickBot="1">
      <c r="A152" s="24"/>
      <c r="X152" s="74"/>
      <c r="AB152" s="75"/>
      <c r="AD152" s="78"/>
      <c r="AE152" s="78"/>
      <c r="AG152" s="78"/>
      <c r="AH152" s="80"/>
      <c r="AJ152" s="81"/>
      <c r="AL152" s="85"/>
      <c r="AM152" s="85"/>
      <c r="AO152" s="78"/>
      <c r="AR152" s="81"/>
      <c r="AW152" s="78"/>
      <c r="AZ152" s="81"/>
      <c r="BB152" s="78"/>
      <c r="BD152" s="78"/>
      <c r="BG152" s="81"/>
      <c r="BI152" s="78"/>
      <c r="BK152" s="78"/>
      <c r="BN152" s="81"/>
      <c r="BP152" s="78"/>
      <c r="BQ152" s="78"/>
      <c r="BS152" s="78"/>
      <c r="BV152" s="81"/>
      <c r="BX152" s="78"/>
      <c r="BZ152" s="78"/>
      <c r="CC152" s="95"/>
      <c r="CD152" s="96" t="s">
        <v>323</v>
      </c>
      <c r="CE152" s="101" t="s">
        <v>318</v>
      </c>
      <c r="CF152" s="101">
        <f>(71900*44.1*0.82)/(1000000)</f>
        <v>2.6000478</v>
      </c>
      <c r="CG152" s="97" t="s">
        <v>319</v>
      </c>
      <c r="CH152" s="104">
        <v>0.05</v>
      </c>
      <c r="CI152" s="104">
        <v>0.05</v>
      </c>
      <c r="CJ152" s="104" t="s">
        <v>302</v>
      </c>
      <c r="CK152" s="109">
        <f>0.0272/3.785</f>
        <v>7.1862615587846759E-3</v>
      </c>
      <c r="CL152" s="109">
        <f>CK152/1000</f>
        <v>7.1862615587846759E-6</v>
      </c>
      <c r="CM152" s="97" t="s">
        <v>320</v>
      </c>
      <c r="CN152" s="105">
        <v>0.33333333333333298</v>
      </c>
      <c r="CO152" s="105">
        <v>3.3333333333333299</v>
      </c>
      <c r="CP152" s="97" t="s">
        <v>302</v>
      </c>
      <c r="CQ152" s="101">
        <f>0.0054/3.785</f>
        <v>1.4266842800528402E-3</v>
      </c>
      <c r="CR152" s="109">
        <f>CQ152/1000</f>
        <v>1.4266842800528402E-6</v>
      </c>
      <c r="CS152" s="97" t="s">
        <v>321</v>
      </c>
      <c r="CT152" s="105">
        <v>0.33333333333333298</v>
      </c>
      <c r="CU152" s="105">
        <v>3.3333333333333299</v>
      </c>
      <c r="CV152" s="97" t="s">
        <v>302</v>
      </c>
      <c r="CW152" s="101">
        <f t="shared" si="524"/>
        <v>9.7754293262879779E-3</v>
      </c>
      <c r="CX152" s="109">
        <f>CW152/1000</f>
        <v>9.775429326287978E-6</v>
      </c>
      <c r="CY152" s="97" t="s">
        <v>320</v>
      </c>
      <c r="CZ152" s="105">
        <v>0.33333333333333298</v>
      </c>
      <c r="DA152" s="105">
        <v>3.3333333333333299</v>
      </c>
      <c r="DB152" s="97" t="s">
        <v>302</v>
      </c>
      <c r="DC152" s="101">
        <f>0.0054/3.785</f>
        <v>1.4266842800528402E-3</v>
      </c>
      <c r="DD152" s="109">
        <f>DC152/1000</f>
        <v>1.4266842800528402E-6</v>
      </c>
      <c r="DE152" s="97" t="s">
        <v>321</v>
      </c>
      <c r="DF152" s="105">
        <v>0.33333333333333298</v>
      </c>
      <c r="DG152" s="105">
        <v>3.3333333333333299</v>
      </c>
      <c r="DH152" s="97" t="s">
        <v>302</v>
      </c>
      <c r="DI152" s="111"/>
      <c r="DJ152" s="50">
        <f t="shared" si="518"/>
        <v>0.05</v>
      </c>
      <c r="DK152" s="50">
        <f t="shared" si="519"/>
        <v>0.05</v>
      </c>
    </row>
    <row r="153" spans="1:115" s="37" customFormat="1" ht="16.5" hidden="1" customHeight="1" thickBot="1">
      <c r="A153" s="24"/>
      <c r="X153" s="74"/>
      <c r="AB153" s="75"/>
      <c r="AD153" s="78"/>
      <c r="AE153" s="78"/>
      <c r="AG153" s="84"/>
      <c r="AH153" s="80"/>
      <c r="AJ153" s="81"/>
      <c r="AL153" s="85"/>
      <c r="AM153" s="85"/>
      <c r="AO153" s="84"/>
      <c r="AR153" s="81"/>
      <c r="AW153" s="84"/>
      <c r="AZ153" s="81"/>
      <c r="BB153" s="78"/>
      <c r="BD153" s="84"/>
      <c r="BG153" s="81"/>
      <c r="BI153" s="78"/>
      <c r="BK153" s="84"/>
      <c r="BN153" s="81"/>
      <c r="BP153" s="78"/>
      <c r="BQ153" s="78"/>
      <c r="BR153" s="87"/>
      <c r="BS153" s="84"/>
      <c r="BV153" s="81"/>
      <c r="BX153" s="78"/>
      <c r="BY153" s="87"/>
      <c r="BZ153" s="84"/>
      <c r="CC153" s="95"/>
      <c r="CD153" s="99" t="s">
        <v>324</v>
      </c>
      <c r="CE153" s="101" t="s">
        <v>318</v>
      </c>
      <c r="CF153" s="101">
        <f>(77400*40.4*0.84)/(1000000)</f>
        <v>2.6266463999999998</v>
      </c>
      <c r="CG153" s="97" t="s">
        <v>319</v>
      </c>
      <c r="CH153" s="104">
        <v>0.05</v>
      </c>
      <c r="CI153" s="104">
        <v>0.05</v>
      </c>
      <c r="CJ153" s="104" t="s">
        <v>302</v>
      </c>
      <c r="CK153" s="101">
        <f>0.0302/3.785</f>
        <v>7.9788639365918103E-3</v>
      </c>
      <c r="CL153" s="109">
        <f t="shared" ref="CL153:CL154" si="525">CK153/1000</f>
        <v>7.9788639365918105E-6</v>
      </c>
      <c r="CM153" s="97" t="s">
        <v>320</v>
      </c>
      <c r="CN153" s="105">
        <v>0.33333333333333298</v>
      </c>
      <c r="CO153" s="105">
        <v>3.3333333333333299</v>
      </c>
      <c r="CP153" s="97" t="s">
        <v>302</v>
      </c>
      <c r="CQ153" s="101">
        <f>0.006/3.785</f>
        <v>1.5852047556142669E-3</v>
      </c>
      <c r="CR153" s="109">
        <f t="shared" ref="CR153:CR154" si="526">CQ153/1000</f>
        <v>1.5852047556142669E-6</v>
      </c>
      <c r="CS153" s="97" t="s">
        <v>321</v>
      </c>
      <c r="CT153" s="105">
        <v>0.33333333333333298</v>
      </c>
      <c r="CU153" s="105">
        <v>3.3333333333333299</v>
      </c>
      <c r="CV153" s="97" t="s">
        <v>302</v>
      </c>
      <c r="CW153" s="101">
        <f t="shared" si="524"/>
        <v>9.7754293262879779E-3</v>
      </c>
      <c r="CX153" s="109">
        <f t="shared" ref="CX153:CX154" si="527">CW153/1000</f>
        <v>9.775429326287978E-6</v>
      </c>
      <c r="CY153" s="97" t="s">
        <v>320</v>
      </c>
      <c r="CZ153" s="105">
        <v>0.33333333333333298</v>
      </c>
      <c r="DA153" s="105">
        <v>3.3333333333333299</v>
      </c>
      <c r="DB153" s="97" t="s">
        <v>302</v>
      </c>
      <c r="DC153" s="101">
        <f>0.006/3.785</f>
        <v>1.5852047556142669E-3</v>
      </c>
      <c r="DD153" s="109">
        <f t="shared" ref="DD153:DD154" si="528">DC153/1000</f>
        <v>1.5852047556142669E-6</v>
      </c>
      <c r="DE153" s="97" t="s">
        <v>321</v>
      </c>
      <c r="DF153" s="105">
        <v>0.33333333333333298</v>
      </c>
      <c r="DG153" s="105">
        <v>3.3333333333333299</v>
      </c>
      <c r="DH153" s="97" t="s">
        <v>302</v>
      </c>
      <c r="DI153" s="111"/>
      <c r="DJ153" s="50">
        <f t="shared" si="518"/>
        <v>0.05</v>
      </c>
      <c r="DK153" s="50">
        <f t="shared" si="519"/>
        <v>0.05</v>
      </c>
    </row>
    <row r="154" spans="1:115" s="37" customFormat="1" ht="16.5" hidden="1" customHeight="1" thickBot="1">
      <c r="A154" s="24"/>
      <c r="X154" s="74"/>
      <c r="AB154" s="75"/>
      <c r="AD154" s="78"/>
      <c r="AE154" s="78"/>
      <c r="AG154" s="84"/>
      <c r="AH154" s="80"/>
      <c r="AJ154" s="81"/>
      <c r="AL154" s="85"/>
      <c r="AM154" s="85"/>
      <c r="AO154" s="84"/>
      <c r="AR154" s="81"/>
      <c r="AW154" s="84"/>
      <c r="AZ154" s="81"/>
      <c r="BB154" s="78"/>
      <c r="BD154" s="84"/>
      <c r="BG154" s="81"/>
      <c r="BI154" s="78"/>
      <c r="BK154" s="84"/>
      <c r="BN154" s="81"/>
      <c r="BP154" s="78"/>
      <c r="BQ154" s="78"/>
      <c r="BR154" s="87"/>
      <c r="BS154" s="84"/>
      <c r="BV154" s="81"/>
      <c r="BX154" s="78"/>
      <c r="BY154" s="87"/>
      <c r="BZ154" s="84"/>
      <c r="CC154" s="95"/>
      <c r="CD154" s="99" t="s">
        <v>325</v>
      </c>
      <c r="CE154" s="101" t="s">
        <v>318</v>
      </c>
      <c r="CF154" s="101">
        <f>(73300*42.3*0.94)/(1000000)</f>
        <v>2.9145545999999998</v>
      </c>
      <c r="CG154" s="97" t="s">
        <v>319</v>
      </c>
      <c r="CH154" s="104">
        <v>0.05</v>
      </c>
      <c r="CI154" s="104">
        <v>0.05</v>
      </c>
      <c r="CJ154" s="104" t="s">
        <v>302</v>
      </c>
      <c r="CK154" s="101">
        <f>0.0303/3.785</f>
        <v>8.0052840158520468E-3</v>
      </c>
      <c r="CL154" s="109">
        <f t="shared" si="525"/>
        <v>8.0052840158520461E-6</v>
      </c>
      <c r="CM154" s="97" t="s">
        <v>320</v>
      </c>
      <c r="CN154" s="105">
        <v>0.33333333333333298</v>
      </c>
      <c r="CO154" s="105">
        <v>3.3333333333333299</v>
      </c>
      <c r="CP154" s="97" t="s">
        <v>302</v>
      </c>
      <c r="CQ154" s="101">
        <f>0.0061/3.785</f>
        <v>1.6116248348745047E-3</v>
      </c>
      <c r="CR154" s="109">
        <f t="shared" si="526"/>
        <v>1.6116248348745046E-6</v>
      </c>
      <c r="CS154" s="97" t="s">
        <v>321</v>
      </c>
      <c r="CT154" s="105">
        <v>0.33333333333333298</v>
      </c>
      <c r="CU154" s="105">
        <v>3.3333333333333299</v>
      </c>
      <c r="CV154" s="97" t="s">
        <v>302</v>
      </c>
      <c r="CW154" s="101">
        <f t="shared" si="524"/>
        <v>9.7754293262879779E-3</v>
      </c>
      <c r="CX154" s="109">
        <f t="shared" si="527"/>
        <v>9.775429326287978E-6</v>
      </c>
      <c r="CY154" s="97" t="s">
        <v>320</v>
      </c>
      <c r="CZ154" s="105">
        <v>0.33333333333333298</v>
      </c>
      <c r="DA154" s="105">
        <v>3.3333333333333299</v>
      </c>
      <c r="DB154" s="97" t="s">
        <v>302</v>
      </c>
      <c r="DC154" s="101">
        <f>0.0061/3.785</f>
        <v>1.6116248348745047E-3</v>
      </c>
      <c r="DD154" s="109">
        <f t="shared" si="528"/>
        <v>1.6116248348745046E-6</v>
      </c>
      <c r="DE154" s="97" t="s">
        <v>321</v>
      </c>
      <c r="DF154" s="105">
        <v>0.33333333333333298</v>
      </c>
      <c r="DG154" s="105">
        <v>3.3333333333333299</v>
      </c>
      <c r="DH154" s="97" t="s">
        <v>302</v>
      </c>
      <c r="DI154" s="111"/>
      <c r="DJ154" s="50">
        <f t="shared" si="518"/>
        <v>0.05</v>
      </c>
      <c r="DK154" s="50">
        <f t="shared" si="519"/>
        <v>0.05</v>
      </c>
    </row>
    <row r="155" spans="1:115" s="37" customFormat="1" ht="16.5" hidden="1" customHeight="1" thickBot="1">
      <c r="A155" s="24"/>
      <c r="X155" s="74"/>
      <c r="AB155" s="75"/>
      <c r="AD155" s="78"/>
      <c r="AE155" s="78"/>
      <c r="AG155" s="84"/>
      <c r="AH155" s="80"/>
      <c r="AJ155" s="81"/>
      <c r="AL155" s="85"/>
      <c r="AM155" s="85"/>
      <c r="AO155" s="84"/>
      <c r="AR155" s="81"/>
      <c r="AW155" s="84"/>
      <c r="AZ155" s="81"/>
      <c r="BB155" s="78"/>
      <c r="BD155" s="84"/>
      <c r="BG155" s="81"/>
      <c r="BI155" s="78"/>
      <c r="BK155" s="84"/>
      <c r="BN155" s="81"/>
      <c r="BP155" s="78"/>
      <c r="BQ155" s="78"/>
      <c r="BR155" s="87"/>
      <c r="BS155" s="84"/>
      <c r="BV155" s="81"/>
      <c r="BX155" s="78"/>
      <c r="BY155" s="87"/>
      <c r="BZ155" s="84"/>
      <c r="CC155" s="95"/>
      <c r="CD155" s="99" t="s">
        <v>326</v>
      </c>
      <c r="CE155" s="101" t="s">
        <v>318</v>
      </c>
      <c r="CF155" s="101">
        <f>(70000*40.2*0.7)/(1000000)</f>
        <v>1.9697999999999998</v>
      </c>
      <c r="CG155" s="97" t="s">
        <v>319</v>
      </c>
      <c r="CH155" s="104">
        <v>0.05</v>
      </c>
      <c r="CI155" s="104">
        <v>0.05</v>
      </c>
      <c r="CJ155" s="104" t="s">
        <v>302</v>
      </c>
      <c r="CK155" s="101">
        <f>0.0237/3.785</f>
        <v>6.2615587846763538E-3</v>
      </c>
      <c r="CL155" s="109">
        <f t="shared" ref="CL155:CL156" si="529">CK155/1000</f>
        <v>6.261558784676354E-6</v>
      </c>
      <c r="CM155" s="97" t="s">
        <v>320</v>
      </c>
      <c r="CN155" s="105">
        <v>0.33333333333333298</v>
      </c>
      <c r="CO155" s="105">
        <v>3.3333333333333299</v>
      </c>
      <c r="CP155" s="97" t="s">
        <v>302</v>
      </c>
      <c r="CQ155" s="101">
        <f>0.0047/3.785</f>
        <v>1.2417437252311757E-3</v>
      </c>
      <c r="CR155" s="109">
        <f t="shared" ref="CR155:CR156" si="530">CQ155/1000</f>
        <v>1.2417437252311756E-6</v>
      </c>
      <c r="CS155" s="97" t="s">
        <v>321</v>
      </c>
      <c r="CT155" s="105">
        <v>0.33333333333333298</v>
      </c>
      <c r="CU155" s="105">
        <v>3.3333333333333299</v>
      </c>
      <c r="CV155" s="97" t="s">
        <v>302</v>
      </c>
      <c r="CW155" s="101">
        <f t="shared" si="524"/>
        <v>9.7754293262879779E-3</v>
      </c>
      <c r="CX155" s="109">
        <f t="shared" ref="CX155:CX156" si="531">CW155/1000</f>
        <v>9.775429326287978E-6</v>
      </c>
      <c r="CY155" s="97" t="s">
        <v>320</v>
      </c>
      <c r="CZ155" s="105">
        <v>0.33333333333333298</v>
      </c>
      <c r="DA155" s="105">
        <v>3.3333333333333299</v>
      </c>
      <c r="DB155" s="97" t="s">
        <v>302</v>
      </c>
      <c r="DC155" s="101">
        <f>0.0047/3.785</f>
        <v>1.2417437252311757E-3</v>
      </c>
      <c r="DD155" s="109">
        <f t="shared" ref="DD155:DD156" si="532">DC155/1000</f>
        <v>1.2417437252311756E-6</v>
      </c>
      <c r="DE155" s="97" t="s">
        <v>321</v>
      </c>
      <c r="DF155" s="105">
        <v>0.33333333333333298</v>
      </c>
      <c r="DG155" s="105">
        <v>3.3333333333333299</v>
      </c>
      <c r="DH155" s="97" t="s">
        <v>302</v>
      </c>
      <c r="DI155" s="111"/>
      <c r="DJ155" s="50">
        <f t="shared" ref="DJ155" si="533">CH155</f>
        <v>0.05</v>
      </c>
      <c r="DK155" s="50">
        <f t="shared" ref="DK155" si="534">CI155</f>
        <v>0.05</v>
      </c>
    </row>
    <row r="156" spans="1:115" s="37" customFormat="1" ht="16.5" hidden="1" customHeight="1" thickBot="1">
      <c r="A156" s="24"/>
      <c r="X156" s="74"/>
      <c r="AB156" s="75"/>
      <c r="AD156" s="78"/>
      <c r="AE156" s="78"/>
      <c r="AG156" s="84"/>
      <c r="AH156" s="80"/>
      <c r="AJ156" s="81"/>
      <c r="AL156" s="85"/>
      <c r="AM156" s="85"/>
      <c r="AO156" s="84"/>
      <c r="AR156" s="81"/>
      <c r="AW156" s="84"/>
      <c r="AZ156" s="81"/>
      <c r="BB156" s="78"/>
      <c r="BD156" s="84"/>
      <c r="BG156" s="81"/>
      <c r="BI156" s="78"/>
      <c r="BK156" s="84"/>
      <c r="BN156" s="81"/>
      <c r="BP156" s="78"/>
      <c r="BQ156" s="78"/>
      <c r="BR156" s="87"/>
      <c r="BS156" s="84"/>
      <c r="BV156" s="81"/>
      <c r="BX156" s="78"/>
      <c r="BY156" s="87"/>
      <c r="BZ156" s="84"/>
      <c r="CC156" s="95"/>
      <c r="CD156" s="99" t="s">
        <v>327</v>
      </c>
      <c r="CE156" s="101" t="s">
        <v>318</v>
      </c>
      <c r="CF156" s="101">
        <f>(70000*44.3*0.8)/(1000000)</f>
        <v>2.4807999999999999</v>
      </c>
      <c r="CG156" s="97" t="s">
        <v>319</v>
      </c>
      <c r="CH156" s="104">
        <v>0.05</v>
      </c>
      <c r="CI156" s="104">
        <v>0.05</v>
      </c>
      <c r="CJ156" s="104" t="s">
        <v>302</v>
      </c>
      <c r="CK156" s="101">
        <f>0.0233/3.785</f>
        <v>6.1558784676354027E-3</v>
      </c>
      <c r="CL156" s="109">
        <f t="shared" si="529"/>
        <v>6.1558784676354023E-6</v>
      </c>
      <c r="CM156" s="97" t="s">
        <v>320</v>
      </c>
      <c r="CN156" s="105">
        <v>0.33333333333333298</v>
      </c>
      <c r="CO156" s="105">
        <v>3.3333333333333299</v>
      </c>
      <c r="CP156" s="97" t="s">
        <v>302</v>
      </c>
      <c r="CQ156" s="101">
        <f>0.0047/3.785</f>
        <v>1.2417437252311757E-3</v>
      </c>
      <c r="CR156" s="109">
        <f t="shared" si="530"/>
        <v>1.2417437252311756E-6</v>
      </c>
      <c r="CS156" s="97" t="s">
        <v>321</v>
      </c>
      <c r="CT156" s="105">
        <v>0.33333333333333298</v>
      </c>
      <c r="CU156" s="105">
        <v>3.3333333333333299</v>
      </c>
      <c r="CV156" s="97" t="s">
        <v>302</v>
      </c>
      <c r="CW156" s="101">
        <f t="shared" si="524"/>
        <v>9.7754293262879779E-3</v>
      </c>
      <c r="CX156" s="109">
        <f t="shared" si="531"/>
        <v>9.775429326287978E-6</v>
      </c>
      <c r="CY156" s="97" t="s">
        <v>320</v>
      </c>
      <c r="CZ156" s="105">
        <v>0.33333333333333298</v>
      </c>
      <c r="DA156" s="105">
        <v>3.3333333333333299</v>
      </c>
      <c r="DB156" s="97" t="s">
        <v>302</v>
      </c>
      <c r="DC156" s="101">
        <f>0.0047/3.785</f>
        <v>1.2417437252311757E-3</v>
      </c>
      <c r="DD156" s="109">
        <f t="shared" si="532"/>
        <v>1.2417437252311756E-6</v>
      </c>
      <c r="DE156" s="97" t="s">
        <v>321</v>
      </c>
      <c r="DF156" s="105">
        <v>0.33333333333333298</v>
      </c>
      <c r="DG156" s="105">
        <v>3.3333333333333299</v>
      </c>
      <c r="DH156" s="97" t="s">
        <v>302</v>
      </c>
      <c r="DI156" s="111"/>
      <c r="DJ156" s="50">
        <f t="shared" si="518"/>
        <v>0.05</v>
      </c>
      <c r="DK156" s="50">
        <f t="shared" si="519"/>
        <v>0.05</v>
      </c>
    </row>
    <row r="157" spans="1:115" s="37" customFormat="1" hidden="1">
      <c r="A157" s="24"/>
      <c r="X157" s="74"/>
      <c r="AB157" s="75"/>
      <c r="AD157" s="78"/>
      <c r="AE157" s="78"/>
      <c r="AG157" s="78"/>
      <c r="AH157" s="80"/>
      <c r="AJ157" s="81"/>
      <c r="AL157" s="85"/>
      <c r="AM157" s="85"/>
      <c r="AO157" s="78"/>
      <c r="AR157" s="81"/>
      <c r="AW157" s="78"/>
      <c r="AZ157" s="81"/>
      <c r="BB157" s="78"/>
      <c r="BD157" s="78"/>
      <c r="BG157" s="81"/>
      <c r="BI157" s="78"/>
      <c r="BK157" s="78"/>
      <c r="BN157" s="81"/>
      <c r="BP157" s="78"/>
      <c r="BQ157" s="78"/>
      <c r="BS157" s="78"/>
      <c r="BV157" s="81"/>
      <c r="BX157" s="78"/>
      <c r="BZ157" s="78"/>
      <c r="CC157" s="45"/>
      <c r="CD157" s="36"/>
      <c r="CE157" s="46"/>
      <c r="CF157" s="46"/>
      <c r="CG157" s="46"/>
      <c r="CH157" s="47"/>
      <c r="CI157" s="47"/>
      <c r="CJ157" s="47"/>
      <c r="CK157" s="110"/>
      <c r="CL157" s="110"/>
      <c r="CM157" s="110"/>
      <c r="CN157" s="110"/>
      <c r="CO157" s="110"/>
      <c r="CP157" s="110"/>
      <c r="CQ157" s="46"/>
      <c r="CR157" s="110"/>
      <c r="CS157" s="110"/>
      <c r="CT157" s="46"/>
      <c r="CU157" s="46"/>
      <c r="CV157" s="46"/>
      <c r="CW157" s="48"/>
      <c r="CX157" s="110"/>
      <c r="CY157" s="110"/>
      <c r="CZ157" s="48"/>
      <c r="DA157" s="48"/>
      <c r="DB157" s="48"/>
      <c r="DC157" s="48"/>
      <c r="DD157" s="110"/>
      <c r="DE157" s="110"/>
      <c r="DF157" s="48"/>
      <c r="DG157" s="48"/>
      <c r="DH157" s="48"/>
      <c r="DI157" s="49"/>
      <c r="DJ157" s="50">
        <f t="shared" si="518"/>
        <v>0</v>
      </c>
      <c r="DK157" s="50">
        <f t="shared" si="519"/>
        <v>0</v>
      </c>
    </row>
    <row r="158" spans="1:115" s="37" customFormat="1" ht="14.65" hidden="1" thickBot="1">
      <c r="A158" s="24"/>
      <c r="X158" s="74"/>
      <c r="AB158" s="75"/>
      <c r="AD158" s="78"/>
      <c r="AE158" s="78"/>
      <c r="AG158" s="78"/>
      <c r="AH158" s="80"/>
      <c r="AJ158" s="81"/>
      <c r="AL158" s="85"/>
      <c r="AM158" s="85"/>
      <c r="AO158" s="78"/>
      <c r="AR158" s="81"/>
      <c r="AW158" s="78"/>
      <c r="AZ158" s="81"/>
      <c r="BB158" s="78"/>
      <c r="BD158" s="78"/>
      <c r="BG158" s="81"/>
      <c r="BI158" s="78"/>
      <c r="BK158" s="78"/>
      <c r="BN158" s="81"/>
      <c r="BP158" s="78"/>
      <c r="BQ158" s="78"/>
      <c r="BS158" s="78"/>
      <c r="BV158" s="81"/>
      <c r="BX158" s="78"/>
      <c r="BZ158" s="78"/>
      <c r="CC158" s="45"/>
      <c r="CD158" s="36"/>
      <c r="CE158" s="46"/>
      <c r="CF158" s="46"/>
      <c r="CG158" s="46"/>
      <c r="CH158" s="47"/>
      <c r="CI158" s="47"/>
      <c r="CJ158" s="47"/>
      <c r="CK158" s="110"/>
      <c r="CL158" s="110"/>
      <c r="CM158" s="110"/>
      <c r="CN158" s="110"/>
      <c r="CO158" s="110"/>
      <c r="CP158" s="110"/>
      <c r="CQ158" s="46"/>
      <c r="CR158" s="110"/>
      <c r="CS158" s="110"/>
      <c r="CT158" s="46"/>
      <c r="CU158" s="46"/>
      <c r="CV158" s="46"/>
      <c r="CW158" s="48"/>
      <c r="CX158" s="110"/>
      <c r="CY158" s="110"/>
      <c r="CZ158" s="48"/>
      <c r="DA158" s="48"/>
      <c r="DB158" s="48"/>
      <c r="DC158" s="48"/>
      <c r="DD158" s="110"/>
      <c r="DE158" s="110"/>
      <c r="DF158" s="48"/>
      <c r="DG158" s="48"/>
      <c r="DH158" s="48"/>
      <c r="DI158" s="49"/>
      <c r="DJ158" s="50">
        <f t="shared" si="518"/>
        <v>0</v>
      </c>
      <c r="DK158" s="50">
        <f t="shared" si="519"/>
        <v>0</v>
      </c>
    </row>
    <row r="159" spans="1:115" s="37" customFormat="1" ht="26.25" hidden="1" customHeight="1" thickBot="1">
      <c r="A159" s="24"/>
      <c r="X159" s="74"/>
      <c r="AB159" s="75"/>
      <c r="AD159" s="78"/>
      <c r="AE159" s="78"/>
      <c r="AG159" s="78"/>
      <c r="AH159" s="80"/>
      <c r="AJ159" s="81"/>
      <c r="AL159" s="85"/>
      <c r="AM159" s="85"/>
      <c r="AO159" s="78"/>
      <c r="AR159" s="81"/>
      <c r="AW159" s="78"/>
      <c r="AZ159" s="81"/>
      <c r="BB159" s="78"/>
      <c r="BD159" s="78"/>
      <c r="BG159" s="81"/>
      <c r="BI159" s="78"/>
      <c r="BK159" s="78"/>
      <c r="BN159" s="81"/>
      <c r="BP159" s="78"/>
      <c r="BQ159" s="78"/>
      <c r="BS159" s="78"/>
      <c r="BV159" s="81"/>
      <c r="BX159" s="78"/>
      <c r="BZ159" s="78"/>
      <c r="CC159" s="45"/>
      <c r="CD159" s="549" t="s">
        <v>311</v>
      </c>
      <c r="CE159" s="92"/>
      <c r="CF159" s="549" t="s">
        <v>328</v>
      </c>
      <c r="CG159" s="92"/>
      <c r="CH159" s="549" t="s">
        <v>283</v>
      </c>
      <c r="CI159" s="549" t="s">
        <v>283</v>
      </c>
      <c r="CJ159" s="549" t="s">
        <v>284</v>
      </c>
      <c r="CK159" s="551" t="s">
        <v>285</v>
      </c>
      <c r="CL159" s="552"/>
      <c r="CM159" s="552"/>
      <c r="CN159" s="552"/>
      <c r="CO159" s="552"/>
      <c r="CP159" s="552"/>
      <c r="CQ159" s="552"/>
      <c r="CR159" s="552"/>
      <c r="CS159" s="552"/>
      <c r="CT159" s="552"/>
      <c r="CU159" s="552"/>
      <c r="CV159" s="553"/>
      <c r="CW159" s="551" t="s">
        <v>286</v>
      </c>
      <c r="CX159" s="552"/>
      <c r="CY159" s="552"/>
      <c r="CZ159" s="552"/>
      <c r="DA159" s="552"/>
      <c r="DB159" s="552"/>
      <c r="DC159" s="552"/>
      <c r="DD159" s="552"/>
      <c r="DE159" s="552"/>
      <c r="DF159" s="552"/>
      <c r="DG159" s="552"/>
      <c r="DH159" s="553"/>
      <c r="DI159" s="91" t="s">
        <v>287</v>
      </c>
      <c r="DJ159" s="50" t="str">
        <f t="shared" si="518"/>
        <v>Incertidumbre (+/- %)</v>
      </c>
      <c r="DK159" s="50" t="str">
        <f t="shared" si="519"/>
        <v>Incertidumbre (+/- %)</v>
      </c>
    </row>
    <row r="160" spans="1:115" s="37" customFormat="1" ht="59.25" hidden="1" customHeight="1" thickBot="1">
      <c r="A160" s="24"/>
      <c r="X160" s="74"/>
      <c r="AB160" s="75"/>
      <c r="AD160" s="78"/>
      <c r="AE160" s="78"/>
      <c r="AG160" s="78"/>
      <c r="AH160" s="80"/>
      <c r="AJ160" s="81"/>
      <c r="AL160" s="85"/>
      <c r="AM160" s="85"/>
      <c r="AO160" s="78"/>
      <c r="AR160" s="81"/>
      <c r="AW160" s="78"/>
      <c r="AZ160" s="81"/>
      <c r="BB160" s="78"/>
      <c r="BD160" s="78"/>
      <c r="BG160" s="81"/>
      <c r="BI160" s="78"/>
      <c r="BK160" s="78"/>
      <c r="BN160" s="81"/>
      <c r="BP160" s="78"/>
      <c r="BQ160" s="78"/>
      <c r="BS160" s="78"/>
      <c r="BV160" s="81"/>
      <c r="BX160" s="78"/>
      <c r="BZ160" s="78"/>
      <c r="CC160" s="45"/>
      <c r="CD160" s="550"/>
      <c r="CE160" s="94" t="s">
        <v>290</v>
      </c>
      <c r="CF160" s="550"/>
      <c r="CG160" s="94" t="s">
        <v>291</v>
      </c>
      <c r="CH160" s="550"/>
      <c r="CI160" s="550"/>
      <c r="CJ160" s="550"/>
      <c r="CK160" s="108" t="s">
        <v>329</v>
      </c>
      <c r="CL160" s="108" t="s">
        <v>330</v>
      </c>
      <c r="CM160" s="94" t="s">
        <v>291</v>
      </c>
      <c r="CN160" s="108" t="s">
        <v>283</v>
      </c>
      <c r="CO160" s="108" t="s">
        <v>283</v>
      </c>
      <c r="CP160" s="108" t="s">
        <v>284</v>
      </c>
      <c r="CQ160" s="108" t="s">
        <v>331</v>
      </c>
      <c r="CR160" s="108" t="s">
        <v>332</v>
      </c>
      <c r="CS160" s="94" t="s">
        <v>291</v>
      </c>
      <c r="CT160" s="108" t="s">
        <v>283</v>
      </c>
      <c r="CU160" s="108" t="s">
        <v>283</v>
      </c>
      <c r="CV160" s="108" t="s">
        <v>284</v>
      </c>
      <c r="CW160" s="108" t="s">
        <v>329</v>
      </c>
      <c r="CX160" s="108" t="s">
        <v>330</v>
      </c>
      <c r="CY160" s="94" t="s">
        <v>291</v>
      </c>
      <c r="CZ160" s="108" t="s">
        <v>283</v>
      </c>
      <c r="DA160" s="108" t="s">
        <v>283</v>
      </c>
      <c r="DB160" s="108" t="s">
        <v>284</v>
      </c>
      <c r="DC160" s="108" t="s">
        <v>331</v>
      </c>
      <c r="DD160" s="108" t="s">
        <v>332</v>
      </c>
      <c r="DE160" s="94" t="s">
        <v>291</v>
      </c>
      <c r="DF160" s="108" t="s">
        <v>283</v>
      </c>
      <c r="DG160" s="108" t="s">
        <v>283</v>
      </c>
      <c r="DH160" s="108" t="s">
        <v>284</v>
      </c>
      <c r="DI160" s="91" t="s">
        <v>328</v>
      </c>
      <c r="DJ160" s="50">
        <f t="shared" si="518"/>
        <v>0</v>
      </c>
      <c r="DK160" s="50">
        <f t="shared" si="519"/>
        <v>0</v>
      </c>
    </row>
    <row r="161" spans="1:115" s="37" customFormat="1" ht="16.149999999999999" hidden="1" thickBot="1">
      <c r="A161" s="24"/>
      <c r="X161" s="74"/>
      <c r="AB161" s="75"/>
      <c r="AD161" s="78"/>
      <c r="AE161" s="78"/>
      <c r="AG161" s="78"/>
      <c r="AH161" s="80"/>
      <c r="AJ161" s="81"/>
      <c r="AL161" s="85"/>
      <c r="AM161" s="85"/>
      <c r="AO161" s="78"/>
      <c r="AR161" s="81"/>
      <c r="AW161" s="78"/>
      <c r="AZ161" s="81"/>
      <c r="BB161" s="78"/>
      <c r="BD161" s="78"/>
      <c r="BG161" s="81"/>
      <c r="BI161" s="78"/>
      <c r="BK161" s="78"/>
      <c r="BN161" s="81"/>
      <c r="BP161" s="78"/>
      <c r="BQ161" s="78"/>
      <c r="BS161" s="78"/>
      <c r="BV161" s="81"/>
      <c r="BX161" s="78"/>
      <c r="BZ161" s="78"/>
      <c r="CA161" s="87"/>
      <c r="CC161" s="95"/>
      <c r="CD161" s="96" t="s">
        <v>333</v>
      </c>
      <c r="CE161" s="97" t="s">
        <v>334</v>
      </c>
      <c r="CF161" s="102">
        <v>0</v>
      </c>
      <c r="CG161" s="97" t="s">
        <v>335</v>
      </c>
      <c r="CH161" s="104">
        <v>0.05</v>
      </c>
      <c r="CI161" s="104">
        <v>0.05</v>
      </c>
      <c r="CJ161" s="104" t="s">
        <v>302</v>
      </c>
      <c r="CK161" s="111">
        <v>2.1999999999999999E-2</v>
      </c>
      <c r="CL161" s="111">
        <f>CK161/1000</f>
        <v>2.1999999999999999E-5</v>
      </c>
      <c r="CM161" s="97" t="s">
        <v>336</v>
      </c>
      <c r="CN161" s="105">
        <v>0.3</v>
      </c>
      <c r="CO161" s="105">
        <v>3</v>
      </c>
      <c r="CP161" s="97" t="s">
        <v>302</v>
      </c>
      <c r="CQ161" s="111">
        <v>2.2000000000000001E-3</v>
      </c>
      <c r="CR161" s="111">
        <f>CQ161/1000</f>
        <v>2.2000000000000001E-6</v>
      </c>
      <c r="CS161" s="97" t="s">
        <v>337</v>
      </c>
      <c r="CT161" s="105">
        <v>0.3</v>
      </c>
      <c r="CU161" s="105">
        <v>3</v>
      </c>
      <c r="CV161" s="97" t="s">
        <v>302</v>
      </c>
      <c r="CW161" s="101">
        <v>0</v>
      </c>
      <c r="CX161" s="111">
        <f>CW161/1000</f>
        <v>0</v>
      </c>
      <c r="CY161" s="97" t="s">
        <v>336</v>
      </c>
      <c r="CZ161" s="105">
        <v>0</v>
      </c>
      <c r="DA161" s="105">
        <v>0</v>
      </c>
      <c r="DB161" s="97" t="s">
        <v>302</v>
      </c>
      <c r="DC161" s="101">
        <v>0</v>
      </c>
      <c r="DD161" s="111">
        <f>DC161/1000</f>
        <v>0</v>
      </c>
      <c r="DE161" s="97" t="s">
        <v>337</v>
      </c>
      <c r="DF161" s="105">
        <v>0</v>
      </c>
      <c r="DG161" s="105">
        <v>0</v>
      </c>
      <c r="DH161" s="97" t="s">
        <v>302</v>
      </c>
      <c r="DI161" s="97">
        <f>(54600*50.4*0.74)/(1000000)</f>
        <v>2.0363615999999998</v>
      </c>
      <c r="DJ161" s="50">
        <f t="shared" si="518"/>
        <v>0.05</v>
      </c>
      <c r="DK161" s="50">
        <f t="shared" si="519"/>
        <v>0.05</v>
      </c>
    </row>
    <row r="162" spans="1:115" s="37" customFormat="1" ht="16.149999999999999" hidden="1" thickBot="1">
      <c r="A162" s="24"/>
      <c r="X162" s="74"/>
      <c r="AB162" s="75"/>
      <c r="AD162" s="78"/>
      <c r="AE162" s="78"/>
      <c r="AG162" s="78"/>
      <c r="AH162" s="80"/>
      <c r="AJ162" s="81"/>
      <c r="AL162" s="85"/>
      <c r="AM162" s="85"/>
      <c r="AO162" s="78"/>
      <c r="AR162" s="81"/>
      <c r="AW162" s="78"/>
      <c r="AZ162" s="81"/>
      <c r="BB162" s="78"/>
      <c r="BD162" s="78"/>
      <c r="BG162" s="81"/>
      <c r="BI162" s="78"/>
      <c r="BK162" s="78"/>
      <c r="BN162" s="81"/>
      <c r="BP162" s="78"/>
      <c r="BQ162" s="78"/>
      <c r="BS162" s="78"/>
      <c r="BV162" s="81"/>
      <c r="BX162" s="78"/>
      <c r="BZ162" s="78"/>
      <c r="CA162" s="87"/>
      <c r="CB162" s="89"/>
      <c r="CC162" s="95"/>
      <c r="CD162" s="99" t="s">
        <v>338</v>
      </c>
      <c r="CE162" s="97" t="s">
        <v>334</v>
      </c>
      <c r="CF162" s="103">
        <f>(56100*48*0.74)/(1000000)</f>
        <v>1.992672</v>
      </c>
      <c r="CG162" s="97" t="s">
        <v>335</v>
      </c>
      <c r="CH162" s="104">
        <v>0.05</v>
      </c>
      <c r="CI162" s="104">
        <v>0.05</v>
      </c>
      <c r="CJ162" s="104" t="s">
        <v>302</v>
      </c>
      <c r="CK162" s="111">
        <v>3.5700000000000003E-2</v>
      </c>
      <c r="CL162" s="111">
        <f>CK162/1000</f>
        <v>3.57E-5</v>
      </c>
      <c r="CM162" s="97" t="s">
        <v>336</v>
      </c>
      <c r="CN162" s="105">
        <v>0.3</v>
      </c>
      <c r="CO162" s="105">
        <v>3</v>
      </c>
      <c r="CP162" s="97" t="s">
        <v>302</v>
      </c>
      <c r="CQ162" s="111">
        <v>3.5999999999999999E-3</v>
      </c>
      <c r="CR162" s="111">
        <f>CQ162/1000</f>
        <v>3.5999999999999998E-6</v>
      </c>
      <c r="CS162" s="97" t="s">
        <v>337</v>
      </c>
      <c r="CT162" s="105">
        <v>0.3</v>
      </c>
      <c r="CU162" s="105">
        <v>3</v>
      </c>
      <c r="CV162" s="97" t="s">
        <v>302</v>
      </c>
      <c r="CW162" s="101">
        <v>3.28</v>
      </c>
      <c r="CX162" s="111">
        <f>CW162/1000</f>
        <v>3.2799999999999999E-3</v>
      </c>
      <c r="CY162" s="97" t="s">
        <v>336</v>
      </c>
      <c r="CZ162" s="105">
        <v>0.54347826086956497</v>
      </c>
      <c r="DA162" s="105">
        <v>16.739130434782599</v>
      </c>
      <c r="DB162" s="97" t="s">
        <v>302</v>
      </c>
      <c r="DC162" s="101">
        <v>0.107</v>
      </c>
      <c r="DD162" s="111">
        <f>DC162/1000</f>
        <v>1.07E-4</v>
      </c>
      <c r="DE162" s="97" t="s">
        <v>337</v>
      </c>
      <c r="DF162" s="105">
        <v>0.33333333333333298</v>
      </c>
      <c r="DG162" s="105">
        <v>25.6666666666667</v>
      </c>
      <c r="DH162" s="97" t="s">
        <v>302</v>
      </c>
      <c r="DI162" s="111"/>
      <c r="DJ162" s="50">
        <f t="shared" si="518"/>
        <v>0.05</v>
      </c>
      <c r="DK162" s="50">
        <f t="shared" si="519"/>
        <v>0.05</v>
      </c>
    </row>
    <row r="163" spans="1:115" s="37" customFormat="1" ht="15.75" hidden="1" thickBot="1">
      <c r="A163" s="24"/>
      <c r="X163" s="74"/>
      <c r="AB163" s="75"/>
      <c r="AD163" s="78"/>
      <c r="AE163" s="78"/>
      <c r="AG163" s="78"/>
      <c r="AH163" s="80"/>
      <c r="AJ163" s="81"/>
      <c r="AL163" s="85"/>
      <c r="AM163" s="85"/>
      <c r="AO163" s="78"/>
      <c r="AR163" s="81"/>
      <c r="AW163" s="78"/>
      <c r="AZ163" s="81"/>
      <c r="BB163" s="78"/>
      <c r="BD163" s="78"/>
      <c r="BG163" s="81"/>
      <c r="BI163" s="78"/>
      <c r="BK163" s="78"/>
      <c r="BN163" s="81"/>
      <c r="BP163" s="78"/>
      <c r="BQ163" s="78"/>
      <c r="BS163" s="78"/>
      <c r="BV163" s="81"/>
      <c r="BX163" s="78"/>
      <c r="BZ163" s="78"/>
      <c r="CA163" s="87"/>
      <c r="CB163" s="89"/>
      <c r="CC163" s="95"/>
      <c r="CD163" s="99" t="s">
        <v>339</v>
      </c>
      <c r="CE163" s="97" t="s">
        <v>340</v>
      </c>
      <c r="CF163" s="103">
        <f>63100*46.4/1000000</f>
        <v>2.9278400000000002</v>
      </c>
      <c r="CG163" s="97" t="s">
        <v>341</v>
      </c>
      <c r="CH163" s="104">
        <v>0.05</v>
      </c>
      <c r="CI163" s="104">
        <v>0.05</v>
      </c>
      <c r="CJ163" s="104" t="s">
        <v>302</v>
      </c>
      <c r="CK163" s="111">
        <v>4.5999999999999999E-2</v>
      </c>
      <c r="CL163" s="111">
        <f>CK163/1000</f>
        <v>4.6E-5</v>
      </c>
      <c r="CM163" s="97" t="s">
        <v>342</v>
      </c>
      <c r="CN163" s="105">
        <v>0.3</v>
      </c>
      <c r="CO163" s="105">
        <v>3</v>
      </c>
      <c r="CP163" s="97" t="s">
        <v>302</v>
      </c>
      <c r="CQ163" s="111">
        <v>5.0000000000000001E-3</v>
      </c>
      <c r="CR163" s="111">
        <f>CQ163/1000</f>
        <v>5.0000000000000004E-6</v>
      </c>
      <c r="CS163" s="97" t="s">
        <v>343</v>
      </c>
      <c r="CT163" s="105">
        <v>0.3</v>
      </c>
      <c r="CU163" s="105">
        <v>3</v>
      </c>
      <c r="CV163" s="97" t="s">
        <v>302</v>
      </c>
      <c r="CW163" s="101">
        <v>4.282</v>
      </c>
      <c r="CX163" s="111">
        <f>CW163/1000</f>
        <v>4.2820000000000002E-3</v>
      </c>
      <c r="CY163" s="97" t="s">
        <v>342</v>
      </c>
      <c r="CZ163" s="105">
        <v>0.54347826086956497</v>
      </c>
      <c r="DA163" s="105">
        <v>16.739130434782599</v>
      </c>
      <c r="DB163" s="97" t="s">
        <v>302</v>
      </c>
      <c r="DC163" s="101">
        <v>0.13600000000000001</v>
      </c>
      <c r="DD163" s="111">
        <f>DC163/1000</f>
        <v>1.36E-4</v>
      </c>
      <c r="DE163" s="97" t="s">
        <v>343</v>
      </c>
      <c r="DF163" s="105">
        <v>0.33333333333333298</v>
      </c>
      <c r="DG163" s="105">
        <v>25.6666666666667</v>
      </c>
      <c r="DH163" s="97" t="s">
        <v>302</v>
      </c>
      <c r="DI163" s="111"/>
      <c r="DJ163" s="50">
        <f t="shared" si="518"/>
        <v>0.05</v>
      </c>
      <c r="DK163" s="50">
        <f t="shared" si="519"/>
        <v>0.05</v>
      </c>
    </row>
    <row r="164" spans="1:115" s="37" customFormat="1" ht="16.5" hidden="1" customHeight="1" thickBot="1">
      <c r="A164" s="24"/>
      <c r="X164" s="74"/>
      <c r="AB164" s="75"/>
      <c r="AD164" s="78"/>
      <c r="AE164" s="78"/>
      <c r="AG164" s="78"/>
      <c r="AH164" s="80"/>
      <c r="AJ164" s="81"/>
      <c r="AL164" s="85"/>
      <c r="AM164" s="85"/>
      <c r="AO164" s="78"/>
      <c r="AR164" s="81"/>
      <c r="AW164" s="78"/>
      <c r="AZ164" s="81"/>
      <c r="BB164" s="78"/>
      <c r="BD164" s="78"/>
      <c r="BG164" s="81"/>
      <c r="BI164" s="78"/>
      <c r="BK164" s="78"/>
      <c r="BN164" s="81"/>
      <c r="BP164" s="78"/>
      <c r="BQ164" s="78"/>
      <c r="BS164" s="78"/>
      <c r="BV164" s="81"/>
      <c r="BX164" s="78"/>
      <c r="BZ164" s="78"/>
      <c r="CA164" s="87"/>
      <c r="CC164" s="95"/>
      <c r="CD164" s="99" t="s">
        <v>344</v>
      </c>
      <c r="CE164" s="101" t="s">
        <v>340</v>
      </c>
      <c r="CF164" s="103">
        <f>(3.13757879682717*99.5%)</f>
        <v>3.1218909028430342</v>
      </c>
      <c r="CG164" s="97" t="s">
        <v>341</v>
      </c>
      <c r="CH164" s="105">
        <v>0.02</v>
      </c>
      <c r="CI164" s="105">
        <v>0.5</v>
      </c>
      <c r="CJ164" s="104" t="s">
        <v>345</v>
      </c>
      <c r="CK164" s="111">
        <v>0</v>
      </c>
      <c r="CL164" s="111">
        <f>CK164/1000</f>
        <v>0</v>
      </c>
      <c r="CM164" s="97" t="s">
        <v>336</v>
      </c>
      <c r="CN164" s="105">
        <v>0</v>
      </c>
      <c r="CO164" s="105">
        <v>0</v>
      </c>
      <c r="CP164" s="97"/>
      <c r="CQ164" s="111">
        <v>0</v>
      </c>
      <c r="CR164" s="111">
        <f>CQ164/1000</f>
        <v>0</v>
      </c>
      <c r="CS164" s="97" t="s">
        <v>337</v>
      </c>
      <c r="CT164" s="105">
        <v>0</v>
      </c>
      <c r="CU164" s="105">
        <v>0</v>
      </c>
      <c r="CV164" s="97"/>
      <c r="CW164" s="101">
        <v>0</v>
      </c>
      <c r="CX164" s="111">
        <f>CW164/1000</f>
        <v>0</v>
      </c>
      <c r="CY164" s="97" t="s">
        <v>336</v>
      </c>
      <c r="CZ164" s="105">
        <v>0</v>
      </c>
      <c r="DA164" s="105">
        <v>0</v>
      </c>
      <c r="DB164" s="97"/>
      <c r="DC164" s="101">
        <v>0</v>
      </c>
      <c r="DD164" s="111">
        <f>DC164/1000</f>
        <v>0</v>
      </c>
      <c r="DE164" s="97" t="s">
        <v>337</v>
      </c>
      <c r="DF164" s="105">
        <v>0</v>
      </c>
      <c r="DG164" s="105">
        <v>0</v>
      </c>
      <c r="DH164" s="97"/>
      <c r="DI164" s="111"/>
      <c r="DJ164" s="50">
        <f t="shared" si="518"/>
        <v>0.02</v>
      </c>
      <c r="DK164" s="50">
        <f t="shared" si="519"/>
        <v>0.5</v>
      </c>
    </row>
    <row r="165" spans="1:115" s="37" customFormat="1" ht="28.15" hidden="1" thickBot="1">
      <c r="A165" s="24"/>
      <c r="X165" s="74"/>
      <c r="AB165" s="75"/>
      <c r="AD165" s="78"/>
      <c r="AE165" s="78"/>
      <c r="AG165" s="78"/>
      <c r="AH165" s="80"/>
      <c r="AJ165" s="81"/>
      <c r="AL165" s="85"/>
      <c r="AM165" s="85"/>
      <c r="AO165" s="78"/>
      <c r="AR165" s="81"/>
      <c r="AW165" s="78"/>
      <c r="AZ165" s="81"/>
      <c r="BB165" s="78"/>
      <c r="BD165" s="78"/>
      <c r="BG165" s="81"/>
      <c r="BI165" s="78"/>
      <c r="BK165" s="78"/>
      <c r="BN165" s="81"/>
      <c r="BP165" s="78"/>
      <c r="BQ165" s="78"/>
      <c r="BS165" s="78"/>
      <c r="BV165" s="81"/>
      <c r="BX165" s="78"/>
      <c r="BZ165" s="78"/>
      <c r="CA165" s="87"/>
      <c r="CC165" s="95"/>
      <c r="CD165" s="99" t="s">
        <v>346</v>
      </c>
      <c r="CE165" s="97" t="s">
        <v>340</v>
      </c>
      <c r="CF165" s="103">
        <v>3.38</v>
      </c>
      <c r="CG165" s="97" t="s">
        <v>341</v>
      </c>
      <c r="CH165" s="105">
        <v>0.1</v>
      </c>
      <c r="CI165" s="105">
        <v>0.2</v>
      </c>
      <c r="CJ165" s="104" t="s">
        <v>347</v>
      </c>
      <c r="CK165" s="111">
        <v>0</v>
      </c>
      <c r="CL165" s="111">
        <f t="shared" ref="CL165" si="535">CK165/1000</f>
        <v>0</v>
      </c>
      <c r="CM165" s="97" t="s">
        <v>336</v>
      </c>
      <c r="CN165" s="105">
        <v>0</v>
      </c>
      <c r="CO165" s="105">
        <v>0</v>
      </c>
      <c r="CP165" s="97"/>
      <c r="CQ165" s="111">
        <v>0</v>
      </c>
      <c r="CR165" s="111">
        <f t="shared" ref="CR165" si="536">CQ165/1000</f>
        <v>0</v>
      </c>
      <c r="CS165" s="97" t="s">
        <v>337</v>
      </c>
      <c r="CT165" s="105">
        <v>0</v>
      </c>
      <c r="CU165" s="105">
        <v>0</v>
      </c>
      <c r="CV165" s="97"/>
      <c r="CW165" s="101">
        <v>0</v>
      </c>
      <c r="CX165" s="111">
        <f t="shared" ref="CX165" si="537">CW165/1000</f>
        <v>0</v>
      </c>
      <c r="CY165" s="97" t="s">
        <v>336</v>
      </c>
      <c r="CZ165" s="105">
        <v>0</v>
      </c>
      <c r="DA165" s="105">
        <v>0</v>
      </c>
      <c r="DB165" s="97"/>
      <c r="DC165" s="101">
        <v>0</v>
      </c>
      <c r="DD165" s="111">
        <f t="shared" ref="DD165" si="538">DC165/1000</f>
        <v>0</v>
      </c>
      <c r="DE165" s="97" t="s">
        <v>337</v>
      </c>
      <c r="DF165" s="105">
        <v>0</v>
      </c>
      <c r="DG165" s="105">
        <v>0</v>
      </c>
      <c r="DH165" s="97"/>
      <c r="DI165" s="111"/>
      <c r="DJ165" s="50">
        <f t="shared" si="518"/>
        <v>0.1</v>
      </c>
      <c r="DK165" s="50">
        <f t="shared" si="519"/>
        <v>0.2</v>
      </c>
    </row>
    <row r="166" spans="1:115" s="37" customFormat="1" ht="14.65" hidden="1" thickBot="1">
      <c r="A166" s="24"/>
      <c r="X166" s="74"/>
      <c r="AB166" s="75"/>
      <c r="AD166" s="78"/>
      <c r="AE166" s="78"/>
      <c r="AG166" s="78"/>
      <c r="AH166" s="80"/>
      <c r="AJ166" s="81"/>
      <c r="AL166" s="85"/>
      <c r="AM166" s="85"/>
      <c r="AO166" s="78"/>
      <c r="AR166" s="81"/>
      <c r="AW166" s="78"/>
      <c r="AZ166" s="81"/>
      <c r="BB166" s="78"/>
      <c r="BD166" s="78"/>
      <c r="BG166" s="81"/>
      <c r="BI166" s="78"/>
      <c r="BK166" s="78"/>
      <c r="BN166" s="81"/>
      <c r="BP166" s="78"/>
      <c r="BQ166" s="78"/>
      <c r="BS166" s="78"/>
      <c r="BV166" s="81"/>
      <c r="BX166" s="78"/>
      <c r="BZ166" s="78"/>
      <c r="CC166" s="45"/>
      <c r="CD166" s="36"/>
      <c r="CE166" s="46"/>
      <c r="CF166" s="46"/>
      <c r="CG166" s="46"/>
      <c r="CH166" s="47"/>
      <c r="CI166" s="47"/>
      <c r="CJ166" s="47"/>
      <c r="CK166" s="110"/>
      <c r="CL166" s="110"/>
      <c r="CM166" s="110"/>
      <c r="CN166" s="110"/>
      <c r="CO166" s="110"/>
      <c r="CP166" s="110"/>
      <c r="CQ166" s="46"/>
      <c r="CR166" s="110"/>
      <c r="CS166" s="110"/>
      <c r="CT166" s="46"/>
      <c r="CU166" s="46"/>
      <c r="CV166" s="46"/>
      <c r="CW166" s="48"/>
      <c r="CX166" s="110"/>
      <c r="CY166" s="110"/>
      <c r="CZ166" s="48"/>
      <c r="DA166" s="48"/>
      <c r="DB166" s="48"/>
      <c r="DC166" s="48"/>
      <c r="DD166" s="110"/>
      <c r="DE166" s="110"/>
      <c r="DF166" s="48"/>
      <c r="DG166" s="48"/>
      <c r="DH166" s="48"/>
      <c r="DI166" s="49"/>
      <c r="DJ166" s="50">
        <f t="shared" si="518"/>
        <v>0</v>
      </c>
      <c r="DK166" s="50">
        <f t="shared" si="519"/>
        <v>0</v>
      </c>
    </row>
    <row r="167" spans="1:115" s="37" customFormat="1" ht="27" hidden="1" customHeight="1">
      <c r="A167" s="24"/>
      <c r="X167" s="74"/>
      <c r="AB167" s="75"/>
      <c r="AD167" s="78"/>
      <c r="AE167" s="78"/>
      <c r="AG167" s="78"/>
      <c r="AH167" s="80"/>
      <c r="AJ167" s="81"/>
      <c r="AL167" s="85"/>
      <c r="AM167" s="85"/>
      <c r="AO167" s="78"/>
      <c r="AR167" s="81"/>
      <c r="AW167" s="78"/>
      <c r="AZ167" s="81"/>
      <c r="BB167" s="78"/>
      <c r="BD167" s="78"/>
      <c r="BG167" s="81"/>
      <c r="BI167" s="78"/>
      <c r="BK167" s="78"/>
      <c r="BN167" s="81"/>
      <c r="BP167" s="78"/>
      <c r="BQ167" s="78"/>
      <c r="BS167" s="78"/>
      <c r="BV167" s="81"/>
      <c r="BX167" s="78"/>
      <c r="BZ167" s="78"/>
      <c r="CC167" s="45"/>
      <c r="CD167" s="549" t="s">
        <v>348</v>
      </c>
      <c r="CE167" s="92"/>
      <c r="CF167" s="549" t="s">
        <v>349</v>
      </c>
      <c r="CG167" s="92"/>
      <c r="CH167" s="549" t="s">
        <v>283</v>
      </c>
      <c r="CI167" s="549" t="s">
        <v>283</v>
      </c>
      <c r="CJ167" s="549" t="s">
        <v>284</v>
      </c>
      <c r="CK167" s="92"/>
      <c r="CL167" s="549" t="s">
        <v>349</v>
      </c>
      <c r="CM167" s="92"/>
      <c r="CN167" s="549" t="s">
        <v>283</v>
      </c>
      <c r="CO167" s="549" t="s">
        <v>283</v>
      </c>
      <c r="CP167" s="549" t="s">
        <v>284</v>
      </c>
      <c r="CQ167" s="46"/>
      <c r="CR167" s="110"/>
      <c r="CS167" s="110"/>
      <c r="CT167" s="46"/>
      <c r="CU167" s="46"/>
      <c r="CV167" s="46"/>
      <c r="CW167" s="48"/>
      <c r="CX167" s="110"/>
      <c r="CY167" s="110"/>
      <c r="CZ167" s="48"/>
      <c r="DA167" s="48"/>
      <c r="DB167" s="48"/>
      <c r="DC167" s="48"/>
      <c r="DD167" s="110"/>
      <c r="DE167" s="110"/>
      <c r="DF167" s="48"/>
      <c r="DG167" s="48"/>
      <c r="DH167" s="48"/>
      <c r="DI167" s="49"/>
      <c r="DJ167" s="50" t="str">
        <f t="shared" ref="DJ167:DJ186" si="539">CH167</f>
        <v>Incertidumbre (+/- %)</v>
      </c>
      <c r="DK167" s="50" t="str">
        <f t="shared" ref="DK167:DK195" si="540">CI167</f>
        <v>Incertidumbre (+/- %)</v>
      </c>
    </row>
    <row r="168" spans="1:115" s="37" customFormat="1" ht="53.25" hidden="1" customHeight="1" thickBot="1">
      <c r="A168" s="24"/>
      <c r="X168" s="74"/>
      <c r="AB168" s="75"/>
      <c r="AD168" s="78"/>
      <c r="AE168" s="78"/>
      <c r="AG168" s="78"/>
      <c r="AH168" s="80"/>
      <c r="AJ168" s="81"/>
      <c r="AL168" s="85"/>
      <c r="AM168" s="85"/>
      <c r="AO168" s="78"/>
      <c r="AR168" s="81"/>
      <c r="AW168" s="78"/>
      <c r="AZ168" s="81"/>
      <c r="BB168" s="78"/>
      <c r="BD168" s="78"/>
      <c r="BG168" s="81"/>
      <c r="BI168" s="78"/>
      <c r="BK168" s="78"/>
      <c r="BN168" s="81"/>
      <c r="BP168" s="78"/>
      <c r="BQ168" s="78"/>
      <c r="BS168" s="78"/>
      <c r="BV168" s="81"/>
      <c r="BX168" s="78"/>
      <c r="BZ168" s="78"/>
      <c r="CC168" s="45"/>
      <c r="CD168" s="550"/>
      <c r="CE168" s="94" t="s">
        <v>290</v>
      </c>
      <c r="CF168" s="550"/>
      <c r="CG168" s="94" t="s">
        <v>291</v>
      </c>
      <c r="CH168" s="550"/>
      <c r="CI168" s="550"/>
      <c r="CJ168" s="550"/>
      <c r="CK168" s="94" t="s">
        <v>290</v>
      </c>
      <c r="CL168" s="550"/>
      <c r="CM168" s="94" t="s">
        <v>291</v>
      </c>
      <c r="CN168" s="550"/>
      <c r="CO168" s="550"/>
      <c r="CP168" s="550"/>
      <c r="CQ168" s="46"/>
      <c r="CR168" s="110"/>
      <c r="CS168" s="110"/>
      <c r="CT168" s="46"/>
      <c r="CU168" s="46"/>
      <c r="CV168" s="46"/>
      <c r="CW168" s="48"/>
      <c r="CX168" s="110"/>
      <c r="CY168" s="110"/>
      <c r="CZ168" s="48"/>
      <c r="DA168" s="48"/>
      <c r="DB168" s="48"/>
      <c r="DC168" s="48"/>
      <c r="DD168" s="110"/>
      <c r="DE168" s="110"/>
      <c r="DF168" s="48"/>
      <c r="DG168" s="48"/>
      <c r="DH168" s="48"/>
      <c r="DI168" s="49"/>
      <c r="DJ168" s="50">
        <f t="shared" si="539"/>
        <v>0</v>
      </c>
      <c r="DK168" s="50">
        <f t="shared" si="540"/>
        <v>0</v>
      </c>
    </row>
    <row r="169" spans="1:115" s="37" customFormat="1" ht="15.75" hidden="1" thickBot="1">
      <c r="A169" s="24"/>
      <c r="X169" s="74"/>
      <c r="AB169" s="75"/>
      <c r="AD169" s="78"/>
      <c r="AE169" s="78"/>
      <c r="AG169" s="78"/>
      <c r="AH169" s="80"/>
      <c r="AJ169" s="81"/>
      <c r="AL169" s="85"/>
      <c r="AM169" s="85"/>
      <c r="AO169" s="78"/>
      <c r="AR169" s="81"/>
      <c r="AW169" s="78"/>
      <c r="AZ169" s="81"/>
      <c r="BB169" s="78"/>
      <c r="BD169" s="78"/>
      <c r="BG169" s="81"/>
      <c r="BI169" s="78"/>
      <c r="BK169" s="78"/>
      <c r="BN169" s="81"/>
      <c r="BP169" s="78"/>
      <c r="BQ169" s="78"/>
      <c r="BS169" s="78"/>
      <c r="BV169" s="81"/>
      <c r="BX169" s="78"/>
      <c r="BZ169" s="78"/>
      <c r="CC169" s="45"/>
      <c r="CD169" s="99" t="s">
        <v>350</v>
      </c>
      <c r="CE169" s="97" t="s">
        <v>340</v>
      </c>
      <c r="CF169" s="103">
        <v>12400</v>
      </c>
      <c r="CG169" s="97" t="s">
        <v>351</v>
      </c>
      <c r="CH169" s="105">
        <v>0.01</v>
      </c>
      <c r="CI169" s="105">
        <v>0.5</v>
      </c>
      <c r="CJ169" s="104" t="s">
        <v>352</v>
      </c>
      <c r="CK169" s="97" t="s">
        <v>340</v>
      </c>
      <c r="CL169" s="103">
        <v>14800</v>
      </c>
      <c r="CM169" s="97" t="s">
        <v>353</v>
      </c>
      <c r="CN169" s="105">
        <v>0.01</v>
      </c>
      <c r="CO169" s="105">
        <v>0.5</v>
      </c>
      <c r="CP169" s="104" t="s">
        <v>354</v>
      </c>
      <c r="CQ169" s="36"/>
      <c r="CR169" s="36"/>
      <c r="CS169" s="36"/>
      <c r="CT169" s="36"/>
      <c r="CU169" s="36"/>
      <c r="CV169" s="36"/>
      <c r="CW169" s="36"/>
      <c r="CX169" s="36"/>
      <c r="CY169" s="36"/>
      <c r="CZ169" s="110"/>
      <c r="DA169" s="110"/>
      <c r="DB169" s="110"/>
      <c r="DC169" s="48"/>
      <c r="DD169" s="110"/>
      <c r="DE169" s="110"/>
      <c r="DF169" s="48"/>
      <c r="DG169" s="48"/>
      <c r="DH169" s="110"/>
      <c r="DI169" s="49"/>
      <c r="DJ169" s="50">
        <f t="shared" si="539"/>
        <v>0.01</v>
      </c>
      <c r="DK169" s="50">
        <f t="shared" si="540"/>
        <v>0.5</v>
      </c>
    </row>
    <row r="170" spans="1:115" s="37" customFormat="1" ht="15.75" hidden="1" thickBot="1">
      <c r="A170" s="24"/>
      <c r="X170" s="74"/>
      <c r="AB170" s="75"/>
      <c r="AD170" s="78"/>
      <c r="AE170" s="78"/>
      <c r="AG170" s="78"/>
      <c r="AH170" s="80"/>
      <c r="AJ170" s="81"/>
      <c r="AL170" s="85"/>
      <c r="AM170" s="85"/>
      <c r="AO170" s="78"/>
      <c r="AR170" s="81"/>
      <c r="AW170" s="78"/>
      <c r="AZ170" s="81"/>
      <c r="BB170" s="78"/>
      <c r="BD170" s="78"/>
      <c r="BG170" s="81"/>
      <c r="BI170" s="78"/>
      <c r="BK170" s="78"/>
      <c r="BN170" s="81"/>
      <c r="BP170" s="78"/>
      <c r="BQ170" s="78"/>
      <c r="BS170" s="78"/>
      <c r="BV170" s="81"/>
      <c r="BX170" s="78"/>
      <c r="BZ170" s="78"/>
      <c r="CC170" s="45"/>
      <c r="CD170" s="99" t="s">
        <v>355</v>
      </c>
      <c r="CE170" s="97" t="s">
        <v>340</v>
      </c>
      <c r="CF170" s="103">
        <v>677</v>
      </c>
      <c r="CG170" s="97" t="s">
        <v>351</v>
      </c>
      <c r="CH170" s="105">
        <v>0.01</v>
      </c>
      <c r="CI170" s="105">
        <v>0.5</v>
      </c>
      <c r="CJ170" s="104" t="s">
        <v>352</v>
      </c>
      <c r="CK170" s="97" t="s">
        <v>340</v>
      </c>
      <c r="CL170" s="103">
        <v>675</v>
      </c>
      <c r="CM170" s="97" t="s">
        <v>353</v>
      </c>
      <c r="CN170" s="105">
        <v>0.01</v>
      </c>
      <c r="CO170" s="105">
        <v>0.5</v>
      </c>
      <c r="CP170" s="104" t="s">
        <v>354</v>
      </c>
      <c r="CQ170" s="36"/>
      <c r="CR170" s="36"/>
      <c r="CS170" s="36"/>
      <c r="CT170" s="36"/>
      <c r="CU170" s="36"/>
      <c r="CV170" s="36"/>
      <c r="CW170" s="36"/>
      <c r="CX170" s="36"/>
      <c r="CY170" s="36"/>
      <c r="CZ170" s="110"/>
      <c r="DA170" s="110"/>
      <c r="DB170" s="110"/>
      <c r="DC170" s="48"/>
      <c r="DD170" s="110"/>
      <c r="DE170" s="110"/>
      <c r="DF170" s="48"/>
      <c r="DG170" s="48"/>
      <c r="DH170" s="110"/>
      <c r="DI170" s="49"/>
      <c r="DJ170" s="50">
        <f t="shared" si="539"/>
        <v>0.01</v>
      </c>
      <c r="DK170" s="50">
        <f t="shared" si="540"/>
        <v>0.5</v>
      </c>
    </row>
    <row r="171" spans="1:115" s="37" customFormat="1" ht="15.75" hidden="1" thickBot="1">
      <c r="A171" s="24"/>
      <c r="X171" s="74"/>
      <c r="AB171" s="75"/>
      <c r="AD171" s="78"/>
      <c r="AE171" s="78"/>
      <c r="AG171" s="78"/>
      <c r="AH171" s="80"/>
      <c r="AJ171" s="81"/>
      <c r="AL171" s="85"/>
      <c r="AM171" s="85"/>
      <c r="AO171" s="78"/>
      <c r="AR171" s="81"/>
      <c r="AW171" s="78"/>
      <c r="AZ171" s="81"/>
      <c r="BB171" s="78"/>
      <c r="BD171" s="78"/>
      <c r="BG171" s="81"/>
      <c r="BI171" s="78"/>
      <c r="BK171" s="78"/>
      <c r="BN171" s="81"/>
      <c r="BP171" s="78"/>
      <c r="BQ171" s="78"/>
      <c r="BS171" s="78"/>
      <c r="BV171" s="81"/>
      <c r="BX171" s="78"/>
      <c r="BZ171" s="78"/>
      <c r="CC171" s="45"/>
      <c r="CD171" s="99" t="s">
        <v>356</v>
      </c>
      <c r="CE171" s="97" t="s">
        <v>340</v>
      </c>
      <c r="CF171" s="103">
        <v>3170</v>
      </c>
      <c r="CG171" s="97" t="s">
        <v>351</v>
      </c>
      <c r="CH171" s="105">
        <v>0.01</v>
      </c>
      <c r="CI171" s="105">
        <v>0.5</v>
      </c>
      <c r="CJ171" s="104" t="s">
        <v>352</v>
      </c>
      <c r="CK171" s="97"/>
      <c r="CL171" s="103"/>
      <c r="CM171" s="97"/>
      <c r="CN171" s="105"/>
      <c r="CO171" s="105"/>
      <c r="CP171" s="104"/>
      <c r="CQ171" s="36"/>
      <c r="CR171" s="36"/>
      <c r="CS171" s="36"/>
      <c r="CT171" s="36"/>
      <c r="CU171" s="36"/>
      <c r="CV171" s="36"/>
      <c r="CW171" s="36"/>
      <c r="CX171" s="36"/>
      <c r="CY171" s="36"/>
      <c r="CZ171" s="110"/>
      <c r="DA171" s="110"/>
      <c r="DB171" s="110"/>
      <c r="DC171" s="48"/>
      <c r="DD171" s="110"/>
      <c r="DE171" s="110"/>
      <c r="DF171" s="48"/>
      <c r="DG171" s="48"/>
      <c r="DH171" s="110"/>
      <c r="DI171" s="49"/>
      <c r="DJ171" s="50">
        <f t="shared" si="539"/>
        <v>0.01</v>
      </c>
      <c r="DK171" s="50">
        <f t="shared" si="540"/>
        <v>0.5</v>
      </c>
    </row>
    <row r="172" spans="1:115" s="37" customFormat="1" ht="15.75" hidden="1" thickBot="1">
      <c r="A172" s="24"/>
      <c r="X172" s="74"/>
      <c r="AB172" s="75"/>
      <c r="AD172" s="78"/>
      <c r="AE172" s="78"/>
      <c r="AG172" s="78"/>
      <c r="AH172" s="80"/>
      <c r="AJ172" s="81"/>
      <c r="AL172" s="85"/>
      <c r="AM172" s="85"/>
      <c r="AO172" s="78"/>
      <c r="AR172" s="81"/>
      <c r="AW172" s="78"/>
      <c r="AZ172" s="81"/>
      <c r="BB172" s="78"/>
      <c r="BD172" s="78"/>
      <c r="BG172" s="81"/>
      <c r="BI172" s="78"/>
      <c r="BK172" s="78"/>
      <c r="BN172" s="81"/>
      <c r="BP172" s="78"/>
      <c r="BQ172" s="78"/>
      <c r="BS172" s="78"/>
      <c r="BV172" s="81"/>
      <c r="BX172" s="78"/>
      <c r="BZ172" s="78"/>
      <c r="CC172" s="45"/>
      <c r="CD172" s="99" t="s">
        <v>357</v>
      </c>
      <c r="CE172" s="97" t="s">
        <v>340</v>
      </c>
      <c r="CF172" s="103">
        <v>1120</v>
      </c>
      <c r="CG172" s="97" t="s">
        <v>351</v>
      </c>
      <c r="CH172" s="105">
        <v>0.01</v>
      </c>
      <c r="CI172" s="105">
        <v>0.5</v>
      </c>
      <c r="CJ172" s="104" t="s">
        <v>352</v>
      </c>
      <c r="CK172" s="97" t="s">
        <v>340</v>
      </c>
      <c r="CL172" s="103">
        <v>1100</v>
      </c>
      <c r="CM172" s="97" t="s">
        <v>353</v>
      </c>
      <c r="CN172" s="105">
        <v>0.01</v>
      </c>
      <c r="CO172" s="105">
        <v>0.5</v>
      </c>
      <c r="CP172" s="104" t="s">
        <v>354</v>
      </c>
      <c r="CQ172" s="36"/>
      <c r="CR172" s="36"/>
      <c r="CS172" s="36"/>
      <c r="CT172" s="36"/>
      <c r="CU172" s="36"/>
      <c r="CV172" s="36"/>
      <c r="CW172" s="36"/>
      <c r="CX172" s="36"/>
      <c r="CY172" s="36"/>
      <c r="CZ172" s="110"/>
      <c r="DA172" s="110"/>
      <c r="DB172" s="110"/>
      <c r="DC172" s="48"/>
      <c r="DD172" s="110"/>
      <c r="DE172" s="110"/>
      <c r="DF172" s="48"/>
      <c r="DG172" s="48"/>
      <c r="DH172" s="110"/>
      <c r="DI172" s="49"/>
      <c r="DJ172" s="50">
        <f t="shared" si="539"/>
        <v>0.01</v>
      </c>
      <c r="DK172" s="50">
        <f t="shared" si="540"/>
        <v>0.5</v>
      </c>
    </row>
    <row r="173" spans="1:115" s="37" customFormat="1" ht="15.75" hidden="1" thickBot="1">
      <c r="A173" s="24"/>
      <c r="X173" s="74"/>
      <c r="AB173" s="75"/>
      <c r="AD173" s="78"/>
      <c r="AE173" s="78"/>
      <c r="AG173" s="78"/>
      <c r="AH173" s="80"/>
      <c r="AJ173" s="81"/>
      <c r="AL173" s="85"/>
      <c r="AM173" s="85"/>
      <c r="AO173" s="78"/>
      <c r="AR173" s="81"/>
      <c r="AW173" s="78"/>
      <c r="AZ173" s="81"/>
      <c r="BB173" s="78"/>
      <c r="BD173" s="78"/>
      <c r="BG173" s="81"/>
      <c r="BI173" s="78"/>
      <c r="BK173" s="78"/>
      <c r="BN173" s="81"/>
      <c r="BP173" s="78"/>
      <c r="BQ173" s="78"/>
      <c r="BS173" s="78"/>
      <c r="BV173" s="81"/>
      <c r="BX173" s="78"/>
      <c r="BZ173" s="78"/>
      <c r="CC173" s="45"/>
      <c r="CD173" s="99" t="s">
        <v>358</v>
      </c>
      <c r="CE173" s="97" t="s">
        <v>340</v>
      </c>
      <c r="CF173" s="103">
        <v>1300</v>
      </c>
      <c r="CG173" s="97" t="s">
        <v>351</v>
      </c>
      <c r="CH173" s="105">
        <v>0.01</v>
      </c>
      <c r="CI173" s="105">
        <v>0.5</v>
      </c>
      <c r="CJ173" s="104" t="s">
        <v>352</v>
      </c>
      <c r="CK173" s="97" t="s">
        <v>340</v>
      </c>
      <c r="CL173" s="103">
        <v>1430</v>
      </c>
      <c r="CM173" s="97" t="s">
        <v>353</v>
      </c>
      <c r="CN173" s="105">
        <v>0.01</v>
      </c>
      <c r="CO173" s="105">
        <v>0.5</v>
      </c>
      <c r="CP173" s="104" t="s">
        <v>354</v>
      </c>
      <c r="CQ173" s="36"/>
      <c r="CR173" s="36"/>
      <c r="CS173" s="36"/>
      <c r="CT173" s="36"/>
      <c r="CU173" s="36"/>
      <c r="CV173" s="36"/>
      <c r="CW173" s="36"/>
      <c r="CX173" s="36"/>
      <c r="CY173" s="36"/>
      <c r="CZ173" s="110"/>
      <c r="DA173" s="110"/>
      <c r="DB173" s="110"/>
      <c r="DC173" s="48"/>
      <c r="DD173" s="110"/>
      <c r="DE173" s="110"/>
      <c r="DF173" s="48"/>
      <c r="DG173" s="48"/>
      <c r="DH173" s="110"/>
      <c r="DI173" s="49"/>
      <c r="DJ173" s="50">
        <f t="shared" si="539"/>
        <v>0.01</v>
      </c>
      <c r="DK173" s="50">
        <f t="shared" si="540"/>
        <v>0.5</v>
      </c>
    </row>
    <row r="174" spans="1:115" s="37" customFormat="1" ht="15.75" hidden="1" thickBot="1">
      <c r="A174" s="24"/>
      <c r="X174" s="74"/>
      <c r="AB174" s="75"/>
      <c r="AD174" s="78"/>
      <c r="AE174" s="78"/>
      <c r="AG174" s="78"/>
      <c r="AH174" s="80"/>
      <c r="AJ174" s="81"/>
      <c r="AL174" s="85"/>
      <c r="AM174" s="85"/>
      <c r="AO174" s="78"/>
      <c r="AR174" s="81"/>
      <c r="AW174" s="78"/>
      <c r="AZ174" s="81"/>
      <c r="BB174" s="78"/>
      <c r="BD174" s="78"/>
      <c r="BG174" s="81"/>
      <c r="BI174" s="78"/>
      <c r="BK174" s="78"/>
      <c r="BN174" s="81"/>
      <c r="BP174" s="78"/>
      <c r="BQ174" s="78"/>
      <c r="BS174" s="78"/>
      <c r="BV174" s="81"/>
      <c r="BX174" s="78"/>
      <c r="BZ174" s="78"/>
      <c r="CC174" s="45"/>
      <c r="CD174" s="99" t="s">
        <v>359</v>
      </c>
      <c r="CE174" s="97" t="s">
        <v>340</v>
      </c>
      <c r="CF174" s="103">
        <v>328</v>
      </c>
      <c r="CG174" s="97" t="s">
        <v>351</v>
      </c>
      <c r="CH174" s="105">
        <v>0.01</v>
      </c>
      <c r="CI174" s="105">
        <v>0.5</v>
      </c>
      <c r="CJ174" s="104" t="s">
        <v>352</v>
      </c>
      <c r="CK174" s="97" t="s">
        <v>340</v>
      </c>
      <c r="CL174" s="103">
        <v>353</v>
      </c>
      <c r="CM174" s="97" t="s">
        <v>353</v>
      </c>
      <c r="CN174" s="105">
        <v>0.01</v>
      </c>
      <c r="CO174" s="105">
        <v>0.5</v>
      </c>
      <c r="CP174" s="104" t="s">
        <v>354</v>
      </c>
      <c r="CQ174" s="36"/>
      <c r="CR174" s="36"/>
      <c r="CS174" s="36"/>
      <c r="CT174" s="36"/>
      <c r="CU174" s="36"/>
      <c r="CV174" s="36"/>
      <c r="CW174" s="36"/>
      <c r="CX174" s="36"/>
      <c r="CY174" s="36"/>
      <c r="CZ174" s="110"/>
      <c r="DA174" s="110"/>
      <c r="DB174" s="110"/>
      <c r="DC174" s="48"/>
      <c r="DD174" s="110"/>
      <c r="DE174" s="110"/>
      <c r="DF174" s="48"/>
      <c r="DG174" s="48"/>
      <c r="DH174" s="110"/>
      <c r="DI174" s="49"/>
      <c r="DJ174" s="50">
        <f t="shared" si="539"/>
        <v>0.01</v>
      </c>
      <c r="DK174" s="50">
        <f t="shared" si="540"/>
        <v>0.5</v>
      </c>
    </row>
    <row r="175" spans="1:115" s="37" customFormat="1" ht="15.75" hidden="1" thickBot="1">
      <c r="A175" s="24"/>
      <c r="X175" s="74"/>
      <c r="AB175" s="75"/>
      <c r="AD175" s="78"/>
      <c r="AE175" s="78"/>
      <c r="AG175" s="78"/>
      <c r="AH175" s="80"/>
      <c r="AJ175" s="81"/>
      <c r="AL175" s="85"/>
      <c r="AM175" s="85"/>
      <c r="AO175" s="78"/>
      <c r="AR175" s="81"/>
      <c r="AW175" s="78"/>
      <c r="AZ175" s="81"/>
      <c r="BB175" s="78"/>
      <c r="BD175" s="78"/>
      <c r="BG175" s="81"/>
      <c r="BI175" s="78"/>
      <c r="BK175" s="78"/>
      <c r="BN175" s="81"/>
      <c r="BP175" s="78"/>
      <c r="BQ175" s="78"/>
      <c r="BS175" s="78"/>
      <c r="BV175" s="81"/>
      <c r="BX175" s="78"/>
      <c r="BZ175" s="78"/>
      <c r="CC175" s="45"/>
      <c r="CD175" s="99" t="s">
        <v>360</v>
      </c>
      <c r="CE175" s="97" t="s">
        <v>340</v>
      </c>
      <c r="CF175" s="103">
        <v>4800</v>
      </c>
      <c r="CG175" s="97" t="s">
        <v>351</v>
      </c>
      <c r="CH175" s="105">
        <v>0.01</v>
      </c>
      <c r="CI175" s="105">
        <v>0.5</v>
      </c>
      <c r="CJ175" s="104" t="s">
        <v>352</v>
      </c>
      <c r="CK175" s="97" t="s">
        <v>340</v>
      </c>
      <c r="CL175" s="103">
        <v>4470</v>
      </c>
      <c r="CM175" s="97" t="s">
        <v>353</v>
      </c>
      <c r="CN175" s="105">
        <v>0.01</v>
      </c>
      <c r="CO175" s="105">
        <v>0.5</v>
      </c>
      <c r="CP175" s="104" t="s">
        <v>354</v>
      </c>
      <c r="CQ175" s="36"/>
      <c r="CR175" s="36"/>
      <c r="CS175" s="36"/>
      <c r="CT175" s="36"/>
      <c r="CU175" s="36"/>
      <c r="CV175" s="36"/>
      <c r="CW175" s="36"/>
      <c r="CX175" s="36"/>
      <c r="CY175" s="36"/>
      <c r="CZ175" s="110"/>
      <c r="DA175" s="110"/>
      <c r="DB175" s="110"/>
      <c r="DC175" s="48"/>
      <c r="DD175" s="110"/>
      <c r="DE175" s="110"/>
      <c r="DF175" s="48"/>
      <c r="DG175" s="48"/>
      <c r="DH175" s="110"/>
      <c r="DI175" s="49"/>
      <c r="DJ175" s="50">
        <f t="shared" si="539"/>
        <v>0.01</v>
      </c>
      <c r="DK175" s="50">
        <f t="shared" si="540"/>
        <v>0.5</v>
      </c>
    </row>
    <row r="176" spans="1:115" s="37" customFormat="1" ht="97.5" hidden="1" thickBot="1">
      <c r="A176" s="24"/>
      <c r="X176" s="74"/>
      <c r="AB176" s="75"/>
      <c r="AD176" s="78"/>
      <c r="AE176" s="78"/>
      <c r="AG176" s="78"/>
      <c r="AH176" s="80"/>
      <c r="AJ176" s="81"/>
      <c r="AL176" s="85"/>
      <c r="AM176" s="85"/>
      <c r="AO176" s="78"/>
      <c r="AR176" s="81"/>
      <c r="AW176" s="78"/>
      <c r="AZ176" s="81"/>
      <c r="BB176" s="78"/>
      <c r="BD176" s="78"/>
      <c r="BG176" s="81"/>
      <c r="BI176" s="78"/>
      <c r="BK176" s="78"/>
      <c r="BN176" s="81"/>
      <c r="BP176" s="78"/>
      <c r="BQ176" s="78"/>
      <c r="BS176" s="78"/>
      <c r="BV176" s="81"/>
      <c r="BX176" s="78"/>
      <c r="BZ176" s="78"/>
      <c r="CC176" s="45"/>
      <c r="CD176" s="99" t="s">
        <v>361</v>
      </c>
      <c r="CE176" s="97" t="s">
        <v>340</v>
      </c>
      <c r="CF176" s="103">
        <f>(CF173*4%)+(CF171*44%)+(CF175*52%)</f>
        <v>3942.8</v>
      </c>
      <c r="CG176" s="97" t="s">
        <v>351</v>
      </c>
      <c r="CH176" s="105">
        <v>0.01</v>
      </c>
      <c r="CI176" s="105">
        <v>0.5</v>
      </c>
      <c r="CJ176" s="104" t="s">
        <v>362</v>
      </c>
      <c r="CK176" s="97" t="s">
        <v>340</v>
      </c>
      <c r="CL176" s="103">
        <v>3922</v>
      </c>
      <c r="CM176" s="97" t="s">
        <v>353</v>
      </c>
      <c r="CN176" s="105">
        <v>0.01</v>
      </c>
      <c r="CO176" s="105">
        <v>0.5</v>
      </c>
      <c r="CP176" s="112" t="s">
        <v>363</v>
      </c>
      <c r="CQ176" s="36"/>
      <c r="CR176" s="36"/>
      <c r="CS176" s="36"/>
      <c r="CT176" s="36"/>
      <c r="CU176" s="36"/>
      <c r="CV176" s="36"/>
      <c r="CW176" s="36"/>
      <c r="CX176" s="36"/>
      <c r="CY176" s="36"/>
      <c r="CZ176" s="110"/>
      <c r="DA176" s="110"/>
      <c r="DB176" s="110"/>
      <c r="DC176" s="48"/>
      <c r="DD176" s="110"/>
      <c r="DE176" s="110"/>
      <c r="DF176" s="48"/>
      <c r="DG176" s="48"/>
      <c r="DH176" s="110"/>
      <c r="DI176" s="49"/>
      <c r="DJ176" s="50">
        <f t="shared" si="539"/>
        <v>0.01</v>
      </c>
      <c r="DK176" s="50">
        <f t="shared" si="540"/>
        <v>0.5</v>
      </c>
    </row>
    <row r="177" spans="1:115" s="37" customFormat="1" ht="153" hidden="1" thickBot="1">
      <c r="A177" s="24"/>
      <c r="X177" s="74"/>
      <c r="AB177" s="75"/>
      <c r="AD177" s="78"/>
      <c r="AE177" s="78"/>
      <c r="AG177" s="78"/>
      <c r="AH177" s="80"/>
      <c r="AJ177" s="81"/>
      <c r="AL177" s="85"/>
      <c r="AM177" s="85"/>
      <c r="AO177" s="78"/>
      <c r="AR177" s="81"/>
      <c r="AW177" s="78"/>
      <c r="AZ177" s="81"/>
      <c r="BB177" s="78"/>
      <c r="BD177" s="78"/>
      <c r="BG177" s="81"/>
      <c r="BI177" s="78"/>
      <c r="BK177" s="78"/>
      <c r="BN177" s="81"/>
      <c r="BP177" s="78"/>
      <c r="BQ177" s="78"/>
      <c r="BS177" s="78"/>
      <c r="BV177" s="81"/>
      <c r="BX177" s="78"/>
      <c r="BZ177" s="78"/>
      <c r="CC177" s="45"/>
      <c r="CD177" s="99" t="s">
        <v>364</v>
      </c>
      <c r="CE177" s="97" t="s">
        <v>340</v>
      </c>
      <c r="CF177" s="103">
        <f>(CF173*52%)+(CF171*25%)+(CF170*23%)</f>
        <v>1624.21</v>
      </c>
      <c r="CG177" s="97" t="s">
        <v>351</v>
      </c>
      <c r="CH177" s="105">
        <v>0.01</v>
      </c>
      <c r="CI177" s="105">
        <v>0.5</v>
      </c>
      <c r="CJ177" s="104" t="s">
        <v>365</v>
      </c>
      <c r="CK177" s="97" t="s">
        <v>340</v>
      </c>
      <c r="CL177" s="103">
        <v>1774</v>
      </c>
      <c r="CM177" s="97" t="s">
        <v>353</v>
      </c>
      <c r="CN177" s="105">
        <v>0.01</v>
      </c>
      <c r="CO177" s="105">
        <v>0.5</v>
      </c>
      <c r="CP177" s="104" t="s">
        <v>354</v>
      </c>
      <c r="CQ177" s="36"/>
      <c r="CR177" s="36"/>
      <c r="CS177" s="36"/>
      <c r="CT177" s="36"/>
      <c r="CU177" s="36"/>
      <c r="CV177" s="36"/>
      <c r="CW177" s="36"/>
      <c r="CX177" s="36"/>
      <c r="CY177" s="36"/>
      <c r="CZ177" s="110"/>
      <c r="DA177" s="110"/>
      <c r="DB177" s="110"/>
      <c r="DC177" s="48"/>
      <c r="DD177" s="110"/>
      <c r="DE177" s="110"/>
      <c r="DF177" s="48"/>
      <c r="DG177" s="48"/>
      <c r="DH177" s="110"/>
      <c r="DI177" s="49"/>
      <c r="DJ177" s="50">
        <f t="shared" si="539"/>
        <v>0.01</v>
      </c>
      <c r="DK177" s="50">
        <f t="shared" si="540"/>
        <v>0.5</v>
      </c>
    </row>
    <row r="178" spans="1:115" s="37" customFormat="1" ht="153" hidden="1" thickBot="1">
      <c r="A178" s="24"/>
      <c r="X178" s="74"/>
      <c r="AB178" s="75"/>
      <c r="AD178" s="78"/>
      <c r="AE178" s="78"/>
      <c r="AG178" s="78"/>
      <c r="AH178" s="80"/>
      <c r="AJ178" s="81"/>
      <c r="AL178" s="85"/>
      <c r="AM178" s="85"/>
      <c r="AO178" s="78"/>
      <c r="AR178" s="81"/>
      <c r="AW178" s="78"/>
      <c r="AZ178" s="81"/>
      <c r="BB178" s="78"/>
      <c r="BD178" s="78"/>
      <c r="BG178" s="81"/>
      <c r="BI178" s="78"/>
      <c r="BK178" s="78"/>
      <c r="BN178" s="81"/>
      <c r="BP178" s="78"/>
      <c r="BQ178" s="78"/>
      <c r="BS178" s="78"/>
      <c r="BV178" s="81"/>
      <c r="BX178" s="78"/>
      <c r="BZ178" s="78"/>
      <c r="CC178" s="45"/>
      <c r="CD178" s="99" t="s">
        <v>366</v>
      </c>
      <c r="CE178" s="97" t="s">
        <v>340</v>
      </c>
      <c r="CF178" s="103">
        <f>(CF171*50%)+(CF170*50%)</f>
        <v>1923.5</v>
      </c>
      <c r="CG178" s="97" t="s">
        <v>351</v>
      </c>
      <c r="CH178" s="105">
        <v>0.01</v>
      </c>
      <c r="CI178" s="105">
        <v>0.5</v>
      </c>
      <c r="CJ178" s="104" t="s">
        <v>367</v>
      </c>
      <c r="CK178" s="97" t="s">
        <v>340</v>
      </c>
      <c r="CL178" s="103">
        <v>2088</v>
      </c>
      <c r="CM178" s="97" t="s">
        <v>353</v>
      </c>
      <c r="CN178" s="105">
        <v>0.01</v>
      </c>
      <c r="CO178" s="105">
        <v>0.5</v>
      </c>
      <c r="CP178" s="104" t="s">
        <v>354</v>
      </c>
      <c r="CQ178" s="36"/>
      <c r="CR178" s="36"/>
      <c r="CS178" s="36"/>
      <c r="CT178" s="36"/>
      <c r="CU178" s="36"/>
      <c r="CV178" s="36"/>
      <c r="CW178" s="36"/>
      <c r="CX178" s="36"/>
      <c r="CY178" s="36"/>
      <c r="CZ178" s="110"/>
      <c r="DA178" s="110"/>
      <c r="DB178" s="110"/>
      <c r="DC178" s="48"/>
      <c r="DD178" s="110"/>
      <c r="DE178" s="110"/>
      <c r="DF178" s="48"/>
      <c r="DG178" s="48"/>
      <c r="DH178" s="110"/>
      <c r="DI178" s="49"/>
      <c r="DJ178" s="50">
        <f t="shared" si="539"/>
        <v>0.01</v>
      </c>
      <c r="DK178" s="50">
        <f t="shared" si="540"/>
        <v>0.5</v>
      </c>
    </row>
    <row r="179" spans="1:115" s="37" customFormat="1" ht="166.9" hidden="1" thickBot="1">
      <c r="A179" s="24"/>
      <c r="X179" s="74"/>
      <c r="AB179" s="75"/>
      <c r="AD179" s="78"/>
      <c r="AE179" s="78"/>
      <c r="AG179" s="78"/>
      <c r="AH179" s="80"/>
      <c r="AJ179" s="81"/>
      <c r="AL179" s="85"/>
      <c r="AM179" s="85"/>
      <c r="AO179" s="78"/>
      <c r="AR179" s="81"/>
      <c r="AW179" s="78"/>
      <c r="AZ179" s="81"/>
      <c r="BB179" s="78"/>
      <c r="BD179" s="78"/>
      <c r="BG179" s="81"/>
      <c r="BI179" s="78"/>
      <c r="BK179" s="78"/>
      <c r="BN179" s="81"/>
      <c r="BP179" s="78"/>
      <c r="BQ179" s="78"/>
      <c r="BS179" s="78"/>
      <c r="BV179" s="81"/>
      <c r="BX179" s="78"/>
      <c r="BZ179" s="78"/>
      <c r="CC179" s="45"/>
      <c r="CD179" s="99" t="s">
        <v>368</v>
      </c>
      <c r="CE179" s="97" t="s">
        <v>340</v>
      </c>
      <c r="CF179" s="103">
        <f>(CF183*9%)+(CF173*88%)+(4*3%)</f>
        <v>1945.12</v>
      </c>
      <c r="CG179" s="97" t="s">
        <v>351</v>
      </c>
      <c r="CH179" s="105">
        <v>0.01</v>
      </c>
      <c r="CI179" s="105">
        <v>0.5</v>
      </c>
      <c r="CJ179" s="104" t="s">
        <v>369</v>
      </c>
      <c r="CK179" s="97" t="s">
        <v>340</v>
      </c>
      <c r="CL179" s="103">
        <v>2088</v>
      </c>
      <c r="CM179" s="97" t="s">
        <v>353</v>
      </c>
      <c r="CN179" s="105">
        <v>0.01</v>
      </c>
      <c r="CO179" s="105">
        <v>0.5</v>
      </c>
      <c r="CP179" s="104" t="s">
        <v>354</v>
      </c>
      <c r="CQ179" s="36"/>
      <c r="CR179" s="36"/>
      <c r="CS179" s="36"/>
      <c r="CT179" s="36"/>
      <c r="CU179" s="36"/>
      <c r="CV179" s="36"/>
      <c r="CW179" s="36"/>
      <c r="CX179" s="36"/>
      <c r="CY179" s="36"/>
      <c r="CZ179" s="110"/>
      <c r="DA179" s="110"/>
      <c r="DB179" s="110"/>
      <c r="DC179" s="48"/>
      <c r="DD179" s="110"/>
      <c r="DE179" s="110"/>
      <c r="DF179" s="48"/>
      <c r="DG179" s="48"/>
      <c r="DH179" s="110"/>
      <c r="DI179" s="49"/>
      <c r="DJ179" s="50">
        <f t="shared" ref="DJ179" si="541">CH179</f>
        <v>0.01</v>
      </c>
      <c r="DK179" s="50">
        <f t="shared" ref="DK179" si="542">CI179</f>
        <v>0.5</v>
      </c>
    </row>
    <row r="180" spans="1:115" s="37" customFormat="1" ht="180.75" hidden="1" thickBot="1">
      <c r="A180" s="24"/>
      <c r="X180" s="74"/>
      <c r="AB180" s="75"/>
      <c r="AD180" s="78"/>
      <c r="AE180" s="78"/>
      <c r="AG180" s="78"/>
      <c r="AH180" s="80"/>
      <c r="AJ180" s="81"/>
      <c r="AL180" s="85"/>
      <c r="AM180" s="85"/>
      <c r="AO180" s="78"/>
      <c r="AR180" s="81"/>
      <c r="AW180" s="78"/>
      <c r="AZ180" s="81"/>
      <c r="BB180" s="78"/>
      <c r="BD180" s="78"/>
      <c r="BG180" s="81"/>
      <c r="BI180" s="78"/>
      <c r="BK180" s="78"/>
      <c r="BN180" s="81"/>
      <c r="BP180" s="78"/>
      <c r="BQ180" s="78"/>
      <c r="BS180" s="78"/>
      <c r="BV180" s="81"/>
      <c r="BX180" s="78"/>
      <c r="BZ180" s="78"/>
      <c r="CC180" s="45"/>
      <c r="CD180" s="99" t="s">
        <v>370</v>
      </c>
      <c r="CE180" s="97" t="s">
        <v>340</v>
      </c>
      <c r="CF180" s="103">
        <f>(CF171*65.1%)+(CF173*31.5%)+(4*3.4%)</f>
        <v>2473.3059999999996</v>
      </c>
      <c r="CG180" s="97" t="s">
        <v>351</v>
      </c>
      <c r="CH180" s="105">
        <v>0.01</v>
      </c>
      <c r="CI180" s="105">
        <v>0.5</v>
      </c>
      <c r="CJ180" s="104" t="s">
        <v>371</v>
      </c>
      <c r="CK180" s="97" t="s">
        <v>340</v>
      </c>
      <c r="CL180" s="103">
        <v>2729</v>
      </c>
      <c r="CM180" s="97" t="s">
        <v>353</v>
      </c>
      <c r="CN180" s="105">
        <v>0.01</v>
      </c>
      <c r="CO180" s="105">
        <v>0.5</v>
      </c>
      <c r="CP180" s="104" t="s">
        <v>354</v>
      </c>
      <c r="CQ180" s="36"/>
      <c r="CR180" s="36"/>
      <c r="CS180" s="36"/>
      <c r="CT180" s="36"/>
      <c r="CU180" s="36"/>
      <c r="CV180" s="36"/>
      <c r="CW180" s="36"/>
      <c r="CX180" s="36"/>
      <c r="CY180" s="36"/>
      <c r="CZ180" s="110"/>
      <c r="DA180" s="110"/>
      <c r="DB180" s="110"/>
      <c r="DC180" s="48"/>
      <c r="DD180" s="110"/>
      <c r="DE180" s="110"/>
      <c r="DF180" s="48"/>
      <c r="DG180" s="48"/>
      <c r="DH180" s="110"/>
      <c r="DI180" s="49"/>
      <c r="DJ180" s="50">
        <f t="shared" si="539"/>
        <v>0.01</v>
      </c>
      <c r="DK180" s="50">
        <f t="shared" si="540"/>
        <v>0.5</v>
      </c>
    </row>
    <row r="181" spans="1:115" s="37" customFormat="1" ht="166.9" hidden="1" thickBot="1">
      <c r="A181" s="24"/>
      <c r="X181" s="74"/>
      <c r="AB181" s="75"/>
      <c r="AD181" s="78"/>
      <c r="AE181" s="78"/>
      <c r="AG181" s="78"/>
      <c r="AH181" s="80"/>
      <c r="AJ181" s="81"/>
      <c r="AL181" s="85"/>
      <c r="AM181" s="85"/>
      <c r="AO181" s="78"/>
      <c r="AR181" s="81"/>
      <c r="AW181" s="78"/>
      <c r="AZ181" s="81"/>
      <c r="BB181" s="78"/>
      <c r="BD181" s="78"/>
      <c r="BG181" s="81"/>
      <c r="BI181" s="78"/>
      <c r="BK181" s="78"/>
      <c r="BN181" s="81"/>
      <c r="BP181" s="78"/>
      <c r="BQ181" s="78"/>
      <c r="BS181" s="78"/>
      <c r="BV181" s="81"/>
      <c r="BX181" s="78"/>
      <c r="BZ181" s="78"/>
      <c r="CC181" s="45"/>
      <c r="CD181" s="99" t="s">
        <v>372</v>
      </c>
      <c r="CE181" s="97" t="s">
        <v>340</v>
      </c>
      <c r="CF181" s="103">
        <f>(CF171*50%)+(CF175*50%)</f>
        <v>3985</v>
      </c>
      <c r="CG181" s="97" t="s">
        <v>351</v>
      </c>
      <c r="CH181" s="105">
        <v>0.01</v>
      </c>
      <c r="CI181" s="105">
        <v>0.5</v>
      </c>
      <c r="CJ181" s="104" t="s">
        <v>373</v>
      </c>
      <c r="CK181" s="97" t="s">
        <v>340</v>
      </c>
      <c r="CL181" s="103">
        <v>2729</v>
      </c>
      <c r="CM181" s="97" t="s">
        <v>353</v>
      </c>
      <c r="CN181" s="105">
        <v>0.01</v>
      </c>
      <c r="CO181" s="105">
        <v>0.5</v>
      </c>
      <c r="CP181" s="104" t="s">
        <v>354</v>
      </c>
      <c r="CQ181" s="36"/>
      <c r="CR181" s="36"/>
      <c r="CS181" s="36"/>
      <c r="CT181" s="36"/>
      <c r="CU181" s="36"/>
      <c r="CV181" s="36"/>
      <c r="CW181" s="36"/>
      <c r="CX181" s="36"/>
      <c r="CY181" s="36"/>
      <c r="CZ181" s="110"/>
      <c r="DA181" s="110"/>
      <c r="DB181" s="110"/>
      <c r="DC181" s="48"/>
      <c r="DD181" s="110"/>
      <c r="DE181" s="110"/>
      <c r="DF181" s="48"/>
      <c r="DG181" s="48"/>
      <c r="DH181" s="110"/>
      <c r="DI181" s="49"/>
      <c r="DJ181" s="50">
        <f t="shared" ref="DJ181" si="543">CH181</f>
        <v>0.01</v>
      </c>
      <c r="DK181" s="50">
        <f t="shared" ref="DK181" si="544">CI181</f>
        <v>0.5</v>
      </c>
    </row>
    <row r="182" spans="1:115" s="37" customFormat="1" ht="15.75" hidden="1" thickBot="1">
      <c r="A182" s="24"/>
      <c r="X182" s="74"/>
      <c r="AB182" s="75"/>
      <c r="AD182" s="78"/>
      <c r="AE182" s="78"/>
      <c r="AG182" s="78"/>
      <c r="AH182" s="80"/>
      <c r="AJ182" s="81"/>
      <c r="AL182" s="85"/>
      <c r="AM182" s="85"/>
      <c r="AO182" s="78"/>
      <c r="AR182" s="81"/>
      <c r="AW182" s="78"/>
      <c r="AZ182" s="81"/>
      <c r="BB182" s="78"/>
      <c r="BD182" s="78"/>
      <c r="BG182" s="81"/>
      <c r="BI182" s="78"/>
      <c r="BK182" s="78"/>
      <c r="BN182" s="81"/>
      <c r="BP182" s="78"/>
      <c r="BQ182" s="78"/>
      <c r="BS182" s="78"/>
      <c r="BV182" s="81"/>
      <c r="BX182" s="78"/>
      <c r="BZ182" s="78"/>
      <c r="CC182" s="45"/>
      <c r="CD182" s="99" t="s">
        <v>374</v>
      </c>
      <c r="CE182" s="97" t="s">
        <v>340</v>
      </c>
      <c r="CF182" s="103">
        <v>6630</v>
      </c>
      <c r="CG182" s="97" t="s">
        <v>351</v>
      </c>
      <c r="CH182" s="105">
        <v>0.01</v>
      </c>
      <c r="CI182" s="105">
        <v>0.5</v>
      </c>
      <c r="CJ182" s="104" t="s">
        <v>352</v>
      </c>
      <c r="CK182" s="97" t="s">
        <v>340</v>
      </c>
      <c r="CL182" s="103">
        <v>7390</v>
      </c>
      <c r="CM182" s="97" t="s">
        <v>353</v>
      </c>
      <c r="CN182" s="105">
        <v>0.01</v>
      </c>
      <c r="CO182" s="105">
        <v>0.5</v>
      </c>
      <c r="CP182" s="104" t="s">
        <v>354</v>
      </c>
      <c r="CQ182" s="36"/>
      <c r="CR182" s="36"/>
      <c r="CS182" s="36"/>
      <c r="CT182" s="36"/>
      <c r="CU182" s="36"/>
      <c r="CV182" s="36"/>
      <c r="CW182" s="36"/>
      <c r="CX182" s="36"/>
      <c r="CY182" s="36"/>
      <c r="CZ182" s="110"/>
      <c r="DA182" s="110"/>
      <c r="DB182" s="110"/>
      <c r="DC182" s="48"/>
      <c r="DD182" s="110"/>
      <c r="DE182" s="110"/>
      <c r="DF182" s="48"/>
      <c r="DG182" s="48"/>
      <c r="DH182" s="110"/>
      <c r="DI182" s="49"/>
      <c r="DJ182" s="50">
        <f t="shared" si="539"/>
        <v>0.01</v>
      </c>
      <c r="DK182" s="50">
        <f t="shared" si="540"/>
        <v>0.5</v>
      </c>
    </row>
    <row r="183" spans="1:115" s="37" customFormat="1" ht="15.75" hidden="1" thickBot="1">
      <c r="A183" s="24"/>
      <c r="X183" s="74"/>
      <c r="AB183" s="75"/>
      <c r="AD183" s="78"/>
      <c r="AE183" s="78"/>
      <c r="AG183" s="78"/>
      <c r="AH183" s="80"/>
      <c r="AJ183" s="81"/>
      <c r="AL183" s="85"/>
      <c r="AM183" s="85"/>
      <c r="AO183" s="78"/>
      <c r="AR183" s="81"/>
      <c r="AW183" s="78"/>
      <c r="AZ183" s="81"/>
      <c r="BB183" s="78"/>
      <c r="BD183" s="78"/>
      <c r="BG183" s="81"/>
      <c r="BI183" s="78"/>
      <c r="BK183" s="78"/>
      <c r="BN183" s="81"/>
      <c r="BP183" s="78"/>
      <c r="BQ183" s="78"/>
      <c r="BS183" s="78"/>
      <c r="BV183" s="81"/>
      <c r="BX183" s="78"/>
      <c r="BZ183" s="78"/>
      <c r="CC183" s="45"/>
      <c r="CD183" s="99" t="s">
        <v>375</v>
      </c>
      <c r="CE183" s="97" t="s">
        <v>340</v>
      </c>
      <c r="CF183" s="103">
        <v>8900</v>
      </c>
      <c r="CG183" s="97" t="s">
        <v>351</v>
      </c>
      <c r="CH183" s="105">
        <v>0.01</v>
      </c>
      <c r="CI183" s="105">
        <v>0.5</v>
      </c>
      <c r="CJ183" s="104" t="s">
        <v>352</v>
      </c>
      <c r="CK183" s="97" t="s">
        <v>340</v>
      </c>
      <c r="CL183" s="103">
        <v>7390</v>
      </c>
      <c r="CM183" s="97" t="s">
        <v>353</v>
      </c>
      <c r="CN183" s="105">
        <v>0.01</v>
      </c>
      <c r="CO183" s="105">
        <v>0.5</v>
      </c>
      <c r="CP183" s="104" t="s">
        <v>354</v>
      </c>
      <c r="CQ183" s="36"/>
      <c r="CR183" s="36"/>
      <c r="CS183" s="36"/>
      <c r="CT183" s="36"/>
      <c r="CU183" s="36"/>
      <c r="CV183" s="36"/>
      <c r="CW183" s="36"/>
      <c r="CX183" s="36"/>
      <c r="CY183" s="36"/>
      <c r="CZ183" s="110"/>
      <c r="DA183" s="110"/>
      <c r="DB183" s="110"/>
      <c r="DC183" s="48"/>
      <c r="DD183" s="110"/>
      <c r="DE183" s="110"/>
      <c r="DF183" s="48"/>
      <c r="DG183" s="48"/>
      <c r="DH183" s="110"/>
      <c r="DI183" s="49"/>
      <c r="DJ183" s="50">
        <f t="shared" ref="DJ183" si="545">CH183</f>
        <v>0.01</v>
      </c>
      <c r="DK183" s="50">
        <f t="shared" ref="DK183" si="546">CI183</f>
        <v>0.5</v>
      </c>
    </row>
    <row r="184" spans="1:115" s="37" customFormat="1" ht="14.65" hidden="1" thickBot="1">
      <c r="A184" s="24"/>
      <c r="X184" s="74"/>
      <c r="AB184" s="75"/>
      <c r="AD184" s="78"/>
      <c r="AE184" s="78"/>
      <c r="AG184" s="78"/>
      <c r="AH184" s="80"/>
      <c r="AJ184" s="81"/>
      <c r="AL184" s="85"/>
      <c r="AM184" s="85"/>
      <c r="AO184" s="78"/>
      <c r="AR184" s="81"/>
      <c r="AW184" s="78"/>
      <c r="AZ184" s="81"/>
      <c r="BB184" s="78"/>
      <c r="BD184" s="78"/>
      <c r="BG184" s="81"/>
      <c r="BI184" s="78"/>
      <c r="BK184" s="78"/>
      <c r="BN184" s="81"/>
      <c r="BP184" s="78"/>
      <c r="BQ184" s="78"/>
      <c r="BS184" s="78"/>
      <c r="BV184" s="81"/>
      <c r="BX184" s="78"/>
      <c r="BZ184" s="78"/>
      <c r="CC184" s="45"/>
      <c r="CD184" s="99"/>
      <c r="CE184" s="97"/>
      <c r="CF184" s="103"/>
      <c r="CG184" s="97"/>
      <c r="CH184" s="105"/>
      <c r="CI184" s="105"/>
      <c r="CJ184" s="104"/>
      <c r="CK184" s="97"/>
      <c r="CL184" s="103"/>
      <c r="CM184" s="97"/>
      <c r="CN184" s="105"/>
      <c r="CO184" s="105"/>
      <c r="CP184" s="104"/>
      <c r="CQ184" s="36"/>
      <c r="CR184" s="36"/>
      <c r="CS184" s="36"/>
      <c r="CT184" s="36"/>
      <c r="CU184" s="36"/>
      <c r="CV184" s="36"/>
      <c r="CW184" s="36"/>
      <c r="CX184" s="36"/>
      <c r="CY184" s="36"/>
      <c r="CZ184" s="110"/>
      <c r="DA184" s="110"/>
      <c r="DB184" s="110"/>
      <c r="DC184" s="48"/>
      <c r="DD184" s="110"/>
      <c r="DE184" s="110"/>
      <c r="DF184" s="48"/>
      <c r="DG184" s="48"/>
      <c r="DH184" s="110"/>
      <c r="DI184" s="49"/>
      <c r="DJ184" s="50">
        <f t="shared" si="539"/>
        <v>0</v>
      </c>
      <c r="DK184" s="50">
        <f t="shared" si="540"/>
        <v>0</v>
      </c>
    </row>
    <row r="185" spans="1:115" s="37" customFormat="1" hidden="1">
      <c r="A185" s="24"/>
      <c r="X185" s="74"/>
      <c r="AB185" s="75"/>
      <c r="AD185" s="78"/>
      <c r="AE185" s="78"/>
      <c r="AG185" s="78"/>
      <c r="AH185" s="80"/>
      <c r="AJ185" s="81"/>
      <c r="AL185" s="85"/>
      <c r="AM185" s="85"/>
      <c r="AO185" s="78"/>
      <c r="AR185" s="81"/>
      <c r="AW185" s="78"/>
      <c r="AZ185" s="81"/>
      <c r="BB185" s="78"/>
      <c r="BD185" s="78"/>
      <c r="BG185" s="81"/>
      <c r="BI185" s="78"/>
      <c r="BK185" s="78"/>
      <c r="BN185" s="81"/>
      <c r="BP185" s="78"/>
      <c r="BQ185" s="78"/>
      <c r="BS185" s="78"/>
      <c r="BV185" s="81"/>
      <c r="BX185" s="78"/>
      <c r="BZ185" s="78"/>
      <c r="CC185" s="45"/>
      <c r="CD185" s="36"/>
      <c r="CE185" s="46"/>
      <c r="CF185" s="46"/>
      <c r="CG185" s="46"/>
      <c r="CH185" s="47"/>
      <c r="CI185" s="47"/>
      <c r="CJ185" s="47"/>
      <c r="CK185" s="110"/>
      <c r="CL185" s="110"/>
      <c r="CM185" s="110"/>
      <c r="CN185" s="110"/>
      <c r="CO185" s="110"/>
      <c r="CP185" s="110"/>
      <c r="CQ185" s="46"/>
      <c r="CR185" s="110"/>
      <c r="CS185" s="110"/>
      <c r="CT185" s="46"/>
      <c r="CU185" s="46"/>
      <c r="CV185" s="46"/>
      <c r="CW185" s="110"/>
      <c r="CX185" s="110"/>
      <c r="CY185" s="110"/>
      <c r="CZ185" s="110"/>
      <c r="DA185" s="110"/>
      <c r="DB185" s="110"/>
      <c r="DC185" s="48"/>
      <c r="DD185" s="110"/>
      <c r="DE185" s="110"/>
      <c r="DF185" s="48"/>
      <c r="DG185" s="48"/>
      <c r="DH185" s="110"/>
      <c r="DI185" s="49"/>
      <c r="DJ185" s="50">
        <f t="shared" si="539"/>
        <v>0</v>
      </c>
      <c r="DK185" s="50">
        <f t="shared" si="540"/>
        <v>0</v>
      </c>
    </row>
    <row r="186" spans="1:115" s="37" customFormat="1" ht="14.65" hidden="1" thickBot="1">
      <c r="A186" s="24"/>
      <c r="X186" s="74"/>
      <c r="AB186" s="75"/>
      <c r="AD186" s="78"/>
      <c r="AE186" s="78"/>
      <c r="AG186" s="78"/>
      <c r="AH186" s="80"/>
      <c r="AJ186" s="81"/>
      <c r="AL186" s="85"/>
      <c r="AM186" s="85"/>
      <c r="AO186" s="78"/>
      <c r="AR186" s="81"/>
      <c r="AW186" s="78"/>
      <c r="AZ186" s="81"/>
      <c r="BB186" s="78"/>
      <c r="BD186" s="78"/>
      <c r="BG186" s="81"/>
      <c r="BI186" s="78"/>
      <c r="BK186" s="78"/>
      <c r="BN186" s="81"/>
      <c r="BP186" s="78"/>
      <c r="BQ186" s="78"/>
      <c r="BS186" s="78"/>
      <c r="BV186" s="81"/>
      <c r="BX186" s="78"/>
      <c r="BZ186" s="78"/>
      <c r="CC186" s="45"/>
      <c r="CD186" s="36"/>
      <c r="CE186" s="46"/>
      <c r="CF186" s="46"/>
      <c r="CG186" s="46"/>
      <c r="CH186" s="47"/>
      <c r="CI186" s="47"/>
      <c r="CJ186" s="47"/>
      <c r="CK186" s="46"/>
      <c r="CL186" s="46"/>
      <c r="CM186" s="46"/>
      <c r="CN186" s="46"/>
      <c r="CO186" s="46"/>
      <c r="CP186" s="46"/>
      <c r="CQ186" s="46"/>
      <c r="CR186" s="46"/>
      <c r="CS186" s="46"/>
      <c r="CT186" s="46"/>
      <c r="CU186" s="46"/>
      <c r="CV186" s="46"/>
      <c r="CW186" s="48"/>
      <c r="CX186" s="46"/>
      <c r="CY186" s="46"/>
      <c r="CZ186" s="48"/>
      <c r="DA186" s="48"/>
      <c r="DB186" s="48"/>
      <c r="DC186" s="48"/>
      <c r="DD186" s="46"/>
      <c r="DE186" s="46"/>
      <c r="DF186" s="48"/>
      <c r="DG186" s="48"/>
      <c r="DH186" s="48"/>
      <c r="DI186" s="49"/>
      <c r="DJ186" s="50">
        <f t="shared" si="539"/>
        <v>0</v>
      </c>
      <c r="DK186" s="50">
        <f t="shared" si="540"/>
        <v>0</v>
      </c>
    </row>
    <row r="187" spans="1:115" s="37" customFormat="1" ht="33.75" hidden="1" customHeight="1">
      <c r="A187" s="24"/>
      <c r="X187" s="74"/>
      <c r="AB187" s="75"/>
      <c r="AD187" s="78"/>
      <c r="AE187" s="78"/>
      <c r="AG187" s="78"/>
      <c r="AH187" s="80"/>
      <c r="AJ187" s="81"/>
      <c r="AL187" s="85"/>
      <c r="AM187" s="85"/>
      <c r="AO187" s="78"/>
      <c r="AR187" s="81"/>
      <c r="AW187" s="78"/>
      <c r="AZ187" s="81"/>
      <c r="BB187" s="78"/>
      <c r="BD187" s="78"/>
      <c r="BG187" s="81"/>
      <c r="BI187" s="78"/>
      <c r="BK187" s="78"/>
      <c r="BN187" s="81"/>
      <c r="BP187" s="78"/>
      <c r="BQ187" s="78"/>
      <c r="BS187" s="78"/>
      <c r="BV187" s="81"/>
      <c r="BX187" s="78"/>
      <c r="BZ187" s="78"/>
      <c r="CC187" s="45"/>
      <c r="CD187" s="549" t="s">
        <v>376</v>
      </c>
      <c r="CE187" s="92"/>
      <c r="CF187" s="549" t="s">
        <v>349</v>
      </c>
      <c r="CG187" s="92"/>
      <c r="CH187" s="549" t="s">
        <v>283</v>
      </c>
      <c r="CI187" s="549" t="s">
        <v>283</v>
      </c>
      <c r="CJ187" s="549" t="s">
        <v>284</v>
      </c>
      <c r="CK187" s="92"/>
      <c r="CL187" s="549" t="s">
        <v>349</v>
      </c>
      <c r="CM187" s="92"/>
      <c r="CN187" s="549" t="s">
        <v>283</v>
      </c>
      <c r="CO187" s="549" t="s">
        <v>283</v>
      </c>
      <c r="CP187" s="549" t="s">
        <v>284</v>
      </c>
      <c r="CQ187" s="46"/>
      <c r="CR187" s="46"/>
      <c r="CS187" s="46"/>
      <c r="CT187" s="46"/>
      <c r="CU187" s="46"/>
      <c r="CV187" s="46"/>
      <c r="CW187" s="48"/>
      <c r="CX187" s="46"/>
      <c r="CY187" s="46"/>
      <c r="CZ187" s="48"/>
      <c r="DA187" s="48"/>
      <c r="DB187" s="48"/>
      <c r="DC187" s="48"/>
      <c r="DD187" s="46"/>
      <c r="DE187" s="46"/>
      <c r="DF187" s="48"/>
      <c r="DG187" s="48"/>
      <c r="DH187" s="48"/>
      <c r="DI187" s="49"/>
      <c r="DJ187" s="50"/>
      <c r="DK187" s="50" t="str">
        <f t="shared" si="540"/>
        <v>Incertidumbre (+/- %)</v>
      </c>
    </row>
    <row r="188" spans="1:115" s="37" customFormat="1" ht="37.5" hidden="1" customHeight="1" thickBot="1">
      <c r="A188" s="24"/>
      <c r="X188" s="74"/>
      <c r="AB188" s="75"/>
      <c r="AD188" s="78"/>
      <c r="AE188" s="78"/>
      <c r="AG188" s="78"/>
      <c r="AH188" s="80"/>
      <c r="AJ188" s="81"/>
      <c r="AL188" s="85"/>
      <c r="AM188" s="85"/>
      <c r="AO188" s="78"/>
      <c r="AR188" s="81"/>
      <c r="AW188" s="78"/>
      <c r="AZ188" s="81"/>
      <c r="BB188" s="78"/>
      <c r="BD188" s="78"/>
      <c r="BG188" s="81"/>
      <c r="BI188" s="78"/>
      <c r="BK188" s="78"/>
      <c r="BN188" s="81"/>
      <c r="BP188" s="78"/>
      <c r="BQ188" s="78"/>
      <c r="BS188" s="78"/>
      <c r="BV188" s="81"/>
      <c r="BX188" s="78"/>
      <c r="BZ188" s="78"/>
      <c r="CC188" s="45"/>
      <c r="CD188" s="550"/>
      <c r="CE188" s="94" t="s">
        <v>290</v>
      </c>
      <c r="CF188" s="550"/>
      <c r="CG188" s="94" t="s">
        <v>291</v>
      </c>
      <c r="CH188" s="550"/>
      <c r="CI188" s="550"/>
      <c r="CJ188" s="550"/>
      <c r="CK188" s="94" t="s">
        <v>290</v>
      </c>
      <c r="CL188" s="550"/>
      <c r="CM188" s="94" t="s">
        <v>291</v>
      </c>
      <c r="CN188" s="550"/>
      <c r="CO188" s="550"/>
      <c r="CP188" s="550"/>
      <c r="CQ188" s="46"/>
      <c r="CR188" s="46"/>
      <c r="CS188" s="46"/>
      <c r="CT188" s="46"/>
      <c r="CU188" s="46"/>
      <c r="CV188" s="46"/>
      <c r="CW188" s="48"/>
      <c r="CX188" s="46"/>
      <c r="CY188" s="46"/>
      <c r="CZ188" s="48"/>
      <c r="DA188" s="48"/>
      <c r="DB188" s="48"/>
      <c r="DC188" s="48"/>
      <c r="DD188" s="46"/>
      <c r="DE188" s="46"/>
      <c r="DF188" s="48"/>
      <c r="DG188" s="48"/>
      <c r="DH188" s="48"/>
      <c r="DI188" s="49"/>
      <c r="DJ188" s="50"/>
      <c r="DK188" s="50">
        <f t="shared" si="540"/>
        <v>0</v>
      </c>
    </row>
    <row r="189" spans="1:115" s="37" customFormat="1" ht="15.75" hidden="1" thickBot="1">
      <c r="A189" s="24"/>
      <c r="X189" s="74"/>
      <c r="AB189" s="75"/>
      <c r="AD189" s="78"/>
      <c r="AE189" s="78"/>
      <c r="AG189" s="78"/>
      <c r="AH189" s="80"/>
      <c r="AJ189" s="81"/>
      <c r="AL189" s="85"/>
      <c r="AM189" s="85"/>
      <c r="AO189" s="78"/>
      <c r="AR189" s="81"/>
      <c r="AW189" s="78"/>
      <c r="AZ189" s="81"/>
      <c r="BB189" s="78"/>
      <c r="BD189" s="78"/>
      <c r="BG189" s="81"/>
      <c r="BI189" s="78"/>
      <c r="BK189" s="78"/>
      <c r="BN189" s="81"/>
      <c r="BP189" s="78"/>
      <c r="BQ189" s="78"/>
      <c r="BS189" s="78"/>
      <c r="BV189" s="81"/>
      <c r="BX189" s="78"/>
      <c r="BZ189" s="78"/>
      <c r="CC189" s="45"/>
      <c r="CD189" s="99" t="str">
        <f>CD173</f>
        <v>HFC-134a / R-134a</v>
      </c>
      <c r="CE189" s="99" t="str">
        <f>CE173</f>
        <v>kg</v>
      </c>
      <c r="CF189" s="99">
        <f>CF173</f>
        <v>1300</v>
      </c>
      <c r="CG189" s="97" t="s">
        <v>351</v>
      </c>
      <c r="CH189" s="99">
        <f>CH173</f>
        <v>0.01</v>
      </c>
      <c r="CI189" s="99">
        <f>CI173</f>
        <v>0.5</v>
      </c>
      <c r="CJ189" s="99" t="str">
        <f>CJ173</f>
        <v>GWP-AR5-IPCC</v>
      </c>
      <c r="CK189" s="99" t="str">
        <f>CK173</f>
        <v>kg</v>
      </c>
      <c r="CL189" s="99"/>
      <c r="CM189" s="99" t="str">
        <f>CM173</f>
        <v>kgCO2eq/kg</v>
      </c>
      <c r="CN189" s="99">
        <f>CN173</f>
        <v>0.01</v>
      </c>
      <c r="CO189" s="99">
        <f>CO173</f>
        <v>0.5</v>
      </c>
      <c r="CP189" s="99" t="str">
        <f>CP173</f>
        <v>GWP-AR4-IPCC</v>
      </c>
      <c r="CQ189" s="46"/>
      <c r="CR189" s="46"/>
      <c r="CS189" s="46"/>
      <c r="CT189" s="46"/>
      <c r="CU189" s="46"/>
      <c r="CV189" s="46"/>
      <c r="CW189" s="48"/>
      <c r="CX189" s="46"/>
      <c r="CY189" s="46"/>
      <c r="CZ189" s="48"/>
      <c r="DA189" s="48"/>
      <c r="DB189" s="48"/>
      <c r="DC189" s="48"/>
      <c r="DD189" s="46"/>
      <c r="DE189" s="46"/>
      <c r="DF189" s="48"/>
      <c r="DG189" s="48"/>
      <c r="DH189" s="48"/>
      <c r="DI189" s="49"/>
      <c r="DJ189" s="50">
        <v>0.01</v>
      </c>
      <c r="DK189" s="50">
        <f t="shared" si="540"/>
        <v>0.5</v>
      </c>
    </row>
    <row r="190" spans="1:115" s="37" customFormat="1" ht="153" hidden="1" thickBot="1">
      <c r="A190" s="24"/>
      <c r="X190" s="74"/>
      <c r="AB190" s="75"/>
      <c r="AD190" s="78"/>
      <c r="AE190" s="78"/>
      <c r="AG190" s="78"/>
      <c r="AH190" s="80"/>
      <c r="AJ190" s="81"/>
      <c r="AL190" s="85"/>
      <c r="AM190" s="85"/>
      <c r="AO190" s="78"/>
      <c r="AR190" s="81"/>
      <c r="AW190" s="78"/>
      <c r="AZ190" s="81"/>
      <c r="BB190" s="78"/>
      <c r="BD190" s="78"/>
      <c r="BG190" s="81"/>
      <c r="BI190" s="78"/>
      <c r="BK190" s="78"/>
      <c r="BN190" s="81"/>
      <c r="BP190" s="78"/>
      <c r="BQ190" s="78"/>
      <c r="BS190" s="78"/>
      <c r="BV190" s="81" t="s">
        <v>377</v>
      </c>
      <c r="BX190" s="78"/>
      <c r="BZ190" s="78"/>
      <c r="CC190" s="45"/>
      <c r="CD190" s="99" t="str">
        <f t="shared" ref="CD190:CF192" si="547">CD177</f>
        <v>HFC-407C / R-407C</v>
      </c>
      <c r="CE190" s="99" t="str">
        <f t="shared" si="547"/>
        <v>kg</v>
      </c>
      <c r="CF190" s="99">
        <f t="shared" si="547"/>
        <v>1624.21</v>
      </c>
      <c r="CG190" s="97" t="s">
        <v>351</v>
      </c>
      <c r="CH190" s="99">
        <f t="shared" ref="CH190:CK192" si="548">CH177</f>
        <v>0.01</v>
      </c>
      <c r="CI190" s="99">
        <f t="shared" si="548"/>
        <v>0.5</v>
      </c>
      <c r="CJ190" s="99" t="str">
        <f t="shared" si="548"/>
        <v>Calculado a partir de la composición porcentual con los valores del AR5 - IPCC. R134A=52%; R125=25%; R32=23%. Datos de porcentajes obtenidos de: IPCC    http://www.ipcc.ch/ipccreports/tar/wg3/index.php?idp=144</v>
      </c>
      <c r="CK190" s="99" t="str">
        <f t="shared" si="548"/>
        <v>kg</v>
      </c>
      <c r="CL190" s="99"/>
      <c r="CM190" s="99" t="str">
        <f t="shared" ref="CM190:CP192" si="549">CM177</f>
        <v>kgCO2eq/kg</v>
      </c>
      <c r="CN190" s="99">
        <f t="shared" si="549"/>
        <v>0.01</v>
      </c>
      <c r="CO190" s="99">
        <f t="shared" si="549"/>
        <v>0.5</v>
      </c>
      <c r="CP190" s="99" t="str">
        <f t="shared" si="549"/>
        <v>GWP-AR4-IPCC</v>
      </c>
      <c r="CQ190" s="36"/>
      <c r="CR190" s="36"/>
      <c r="CS190" s="36"/>
      <c r="CT190" s="36"/>
      <c r="CU190" s="36"/>
      <c r="CV190" s="36"/>
      <c r="CW190" s="36"/>
      <c r="CX190" s="36"/>
      <c r="CY190" s="36"/>
      <c r="CZ190" s="110"/>
      <c r="DA190" s="110"/>
      <c r="DB190" s="110"/>
      <c r="DC190" s="48"/>
      <c r="DD190" s="110"/>
      <c r="DE190" s="110"/>
      <c r="DF190" s="48"/>
      <c r="DG190" s="48"/>
      <c r="DH190" s="110"/>
      <c r="DI190" s="49"/>
      <c r="DJ190" s="50">
        <f t="shared" ref="DJ190:DJ193" si="550">CH190</f>
        <v>0.01</v>
      </c>
      <c r="DK190" s="50">
        <f t="shared" ref="DK190:DK193" si="551">CI190</f>
        <v>0.5</v>
      </c>
    </row>
    <row r="191" spans="1:115" s="37" customFormat="1" ht="153" hidden="1" thickBot="1">
      <c r="A191" s="24"/>
      <c r="X191" s="74"/>
      <c r="AB191" s="75"/>
      <c r="AD191" s="78"/>
      <c r="AE191" s="78"/>
      <c r="AG191" s="78"/>
      <c r="AH191" s="80"/>
      <c r="AJ191" s="81"/>
      <c r="AL191" s="85"/>
      <c r="AM191" s="85"/>
      <c r="AO191" s="78"/>
      <c r="AR191" s="81"/>
      <c r="AW191" s="78"/>
      <c r="AZ191" s="81"/>
      <c r="BB191" s="78"/>
      <c r="BD191" s="78"/>
      <c r="BG191" s="81"/>
      <c r="BI191" s="78"/>
      <c r="BK191" s="78"/>
      <c r="BN191" s="81"/>
      <c r="BP191" s="78"/>
      <c r="BQ191" s="78"/>
      <c r="BS191" s="78"/>
      <c r="BV191" s="81" t="s">
        <v>377</v>
      </c>
      <c r="BX191" s="78"/>
      <c r="BZ191" s="78"/>
      <c r="CC191" s="45"/>
      <c r="CD191" s="99" t="str">
        <f t="shared" si="547"/>
        <v>HFC-410a / R-410A</v>
      </c>
      <c r="CE191" s="99" t="str">
        <f t="shared" si="547"/>
        <v>kg</v>
      </c>
      <c r="CF191" s="99">
        <f t="shared" si="547"/>
        <v>1923.5</v>
      </c>
      <c r="CG191" s="97" t="s">
        <v>351</v>
      </c>
      <c r="CH191" s="99">
        <f t="shared" si="548"/>
        <v>0.01</v>
      </c>
      <c r="CI191" s="99">
        <f t="shared" si="548"/>
        <v>0.5</v>
      </c>
      <c r="CJ191" s="99" t="str">
        <f t="shared" si="548"/>
        <v>Calculado a partir de la composición porcentual con los valores del AR5 - IPCC. R125=50%; R32=50%. Datos de porcentajes obtenidos de: IPCC    http://www.ipcc.ch/ipccreports/tar/wg3/index.php?idp=144</v>
      </c>
      <c r="CK191" s="99" t="str">
        <f t="shared" si="548"/>
        <v>kg</v>
      </c>
      <c r="CL191" s="99"/>
      <c r="CM191" s="99" t="str">
        <f t="shared" si="549"/>
        <v>kgCO2eq/kg</v>
      </c>
      <c r="CN191" s="99">
        <f t="shared" si="549"/>
        <v>0.01</v>
      </c>
      <c r="CO191" s="99">
        <f t="shared" si="549"/>
        <v>0.5</v>
      </c>
      <c r="CP191" s="99" t="str">
        <f t="shared" si="549"/>
        <v>GWP-AR4-IPCC</v>
      </c>
      <c r="CQ191" s="36"/>
      <c r="CR191" s="36"/>
      <c r="CS191" s="36"/>
      <c r="CT191" s="36"/>
      <c r="CU191" s="36"/>
      <c r="CV191" s="36"/>
      <c r="CW191" s="36"/>
      <c r="CX191" s="36"/>
      <c r="CY191" s="36"/>
      <c r="CZ191" s="110"/>
      <c r="DA191" s="110"/>
      <c r="DB191" s="110"/>
      <c r="DC191" s="48"/>
      <c r="DD191" s="110"/>
      <c r="DE191" s="110"/>
      <c r="DF191" s="48"/>
      <c r="DG191" s="48"/>
      <c r="DH191" s="110"/>
      <c r="DI191" s="49"/>
      <c r="DJ191" s="50">
        <f t="shared" si="550"/>
        <v>0.01</v>
      </c>
      <c r="DK191" s="50">
        <f t="shared" si="551"/>
        <v>0.5</v>
      </c>
    </row>
    <row r="192" spans="1:115" s="37" customFormat="1" ht="166.9" hidden="1" thickBot="1">
      <c r="A192" s="24"/>
      <c r="X192" s="74"/>
      <c r="AB192" s="75"/>
      <c r="AD192" s="78"/>
      <c r="AE192" s="78"/>
      <c r="AG192" s="78"/>
      <c r="AH192" s="80"/>
      <c r="AJ192" s="81"/>
      <c r="AL192" s="85"/>
      <c r="AM192" s="85"/>
      <c r="AO192" s="78"/>
      <c r="AR192" s="81"/>
      <c r="AW192" s="78"/>
      <c r="AZ192" s="81"/>
      <c r="BB192" s="78"/>
      <c r="BD192" s="78"/>
      <c r="BG192" s="81"/>
      <c r="BI192" s="78"/>
      <c r="BK192" s="78"/>
      <c r="BN192" s="81"/>
      <c r="BP192" s="78"/>
      <c r="BQ192" s="78"/>
      <c r="BS192" s="78"/>
      <c r="BV192" s="81" t="s">
        <v>377</v>
      </c>
      <c r="BX192" s="78"/>
      <c r="BZ192" s="78"/>
      <c r="CC192" s="45"/>
      <c r="CD192" s="99" t="str">
        <f t="shared" si="547"/>
        <v>HFC-413a / R-413A</v>
      </c>
      <c r="CE192" s="99" t="str">
        <f t="shared" si="547"/>
        <v>kg</v>
      </c>
      <c r="CF192" s="99">
        <f t="shared" si="547"/>
        <v>1945.12</v>
      </c>
      <c r="CG192" s="97" t="s">
        <v>351</v>
      </c>
      <c r="CH192" s="106">
        <f t="shared" si="548"/>
        <v>0.01</v>
      </c>
      <c r="CI192" s="106">
        <f t="shared" si="548"/>
        <v>0.5</v>
      </c>
      <c r="CJ192" s="106" t="str">
        <f t="shared" si="548"/>
        <v>Calculado a partir de la composición porcentual con los valores del AR5 - IPCC. R218=9%; R134A=88% y R600=3%. Datos de porcentajes obtenidos de: IPCC    http://www.ipcc.ch/ipccreports/tar/wg3/index.php?idp=144</v>
      </c>
      <c r="CK192" s="99" t="str">
        <f t="shared" si="548"/>
        <v>kg</v>
      </c>
      <c r="CL192" s="99"/>
      <c r="CM192" s="99" t="str">
        <f t="shared" si="549"/>
        <v>kgCO2eq/kg</v>
      </c>
      <c r="CN192" s="106">
        <f t="shared" si="549"/>
        <v>0.01</v>
      </c>
      <c r="CO192" s="106">
        <f t="shared" si="549"/>
        <v>0.5</v>
      </c>
      <c r="CP192" s="106" t="str">
        <f t="shared" si="549"/>
        <v>GWP-AR4-IPCC</v>
      </c>
      <c r="CQ192" s="36"/>
      <c r="CR192" s="36"/>
      <c r="CS192" s="36"/>
      <c r="CT192" s="36"/>
      <c r="CU192" s="36"/>
      <c r="CV192" s="36"/>
      <c r="CW192" s="36"/>
      <c r="CX192" s="36"/>
      <c r="CY192" s="36"/>
      <c r="CZ192" s="110"/>
      <c r="DA192" s="110"/>
      <c r="DB192" s="110"/>
      <c r="DC192" s="48"/>
      <c r="DD192" s="110"/>
      <c r="DE192" s="110"/>
      <c r="DF192" s="48"/>
      <c r="DG192" s="48"/>
      <c r="DH192" s="110"/>
      <c r="DI192" s="49"/>
      <c r="DJ192" s="50">
        <f t="shared" si="550"/>
        <v>0.01</v>
      </c>
      <c r="DK192" s="50">
        <f t="shared" si="551"/>
        <v>0.5</v>
      </c>
    </row>
    <row r="193" spans="1:115" s="37" customFormat="1" ht="166.9" hidden="1" thickBot="1">
      <c r="A193" s="24"/>
      <c r="X193" s="74"/>
      <c r="AB193" s="75"/>
      <c r="AD193" s="78"/>
      <c r="AE193" s="78"/>
      <c r="AG193" s="78"/>
      <c r="AH193" s="80"/>
      <c r="AJ193" s="81"/>
      <c r="AL193" s="85"/>
      <c r="AM193" s="85"/>
      <c r="AO193" s="78"/>
      <c r="AR193" s="81"/>
      <c r="AW193" s="78"/>
      <c r="AZ193" s="81"/>
      <c r="BB193" s="78"/>
      <c r="BD193" s="78"/>
      <c r="BG193" s="81"/>
      <c r="BI193" s="78"/>
      <c r="BK193" s="78"/>
      <c r="BN193" s="81"/>
      <c r="BP193" s="78"/>
      <c r="BQ193" s="78"/>
      <c r="BS193" s="78"/>
      <c r="BV193" s="81" t="s">
        <v>377</v>
      </c>
      <c r="BX193" s="78"/>
      <c r="BZ193" s="78"/>
      <c r="CC193" s="45"/>
      <c r="CD193" s="99" t="str">
        <f>CD181</f>
        <v>HFC-507A / R-507A</v>
      </c>
      <c r="CE193" s="99" t="str">
        <f>CE181</f>
        <v>kg</v>
      </c>
      <c r="CF193" s="99">
        <f>CF181</f>
        <v>3985</v>
      </c>
      <c r="CG193" s="97" t="s">
        <v>351</v>
      </c>
      <c r="CH193" s="99">
        <f t="shared" ref="CH193:CP193" si="552">CH181</f>
        <v>0.01</v>
      </c>
      <c r="CI193" s="99">
        <f t="shared" si="552"/>
        <v>0.5</v>
      </c>
      <c r="CJ193" s="99" t="str">
        <f t="shared" si="552"/>
        <v>Calculado a partir de la composición porcentual con los valores del AR5 - IPCC. R125=50%; R134A=50%. Datos de porcentajes obtenidos de: https://gas-servei.com/shop/docs/ficha-tecnica-r-507a-gas-servei.pdf</v>
      </c>
      <c r="CK193" s="99" t="str">
        <f t="shared" si="552"/>
        <v>kg</v>
      </c>
      <c r="CL193" s="99">
        <f t="shared" si="552"/>
        <v>2729</v>
      </c>
      <c r="CM193" s="99" t="str">
        <f t="shared" si="552"/>
        <v>kgCO2eq/kg</v>
      </c>
      <c r="CN193" s="99">
        <f t="shared" si="552"/>
        <v>0.01</v>
      </c>
      <c r="CO193" s="99">
        <f t="shared" si="552"/>
        <v>0.5</v>
      </c>
      <c r="CP193" s="99" t="str">
        <f t="shared" si="552"/>
        <v>GWP-AR4-IPCC</v>
      </c>
      <c r="CQ193" s="36"/>
      <c r="CR193" s="36"/>
      <c r="CS193" s="36"/>
      <c r="CT193" s="36"/>
      <c r="CU193" s="36"/>
      <c r="CV193" s="36"/>
      <c r="CW193" s="36"/>
      <c r="CX193" s="36"/>
      <c r="CY193" s="36"/>
      <c r="CZ193" s="110"/>
      <c r="DA193" s="110"/>
      <c r="DB193" s="110"/>
      <c r="DC193" s="48"/>
      <c r="DD193" s="110"/>
      <c r="DE193" s="110"/>
      <c r="DF193" s="48"/>
      <c r="DG193" s="48"/>
      <c r="DH193" s="110"/>
      <c r="DI193" s="49"/>
      <c r="DJ193" s="50">
        <f t="shared" si="550"/>
        <v>0.01</v>
      </c>
      <c r="DK193" s="50">
        <f t="shared" si="551"/>
        <v>0.5</v>
      </c>
    </row>
    <row r="194" spans="1:115" s="37" customFormat="1" hidden="1">
      <c r="A194" s="24"/>
      <c r="X194" s="74"/>
      <c r="AB194" s="75"/>
      <c r="AD194" s="78"/>
      <c r="AE194" s="78"/>
      <c r="AG194" s="78"/>
      <c r="AH194" s="80"/>
      <c r="AJ194" s="81"/>
      <c r="AL194" s="85"/>
      <c r="AM194" s="85"/>
      <c r="AO194" s="78"/>
      <c r="AR194" s="81"/>
      <c r="AW194" s="78"/>
      <c r="AZ194" s="81"/>
      <c r="BB194" s="78"/>
      <c r="BD194" s="78"/>
      <c r="BG194" s="81"/>
      <c r="BI194" s="78"/>
      <c r="BK194" s="78"/>
      <c r="BN194" s="81"/>
      <c r="BP194" s="78"/>
      <c r="BQ194" s="78"/>
      <c r="BS194" s="78"/>
      <c r="BV194" s="81"/>
      <c r="BX194" s="78"/>
      <c r="BZ194" s="78"/>
      <c r="CC194" s="45"/>
      <c r="CD194" s="36"/>
      <c r="CE194" s="46"/>
      <c r="CF194" s="46"/>
      <c r="CG194" s="46"/>
      <c r="CH194" s="47"/>
      <c r="CI194" s="47"/>
      <c r="CJ194" s="47"/>
      <c r="CK194" s="46"/>
      <c r="CL194" s="46"/>
      <c r="CM194" s="46"/>
      <c r="CN194" s="46"/>
      <c r="CO194" s="46"/>
      <c r="CP194" s="46"/>
      <c r="CQ194" s="48"/>
      <c r="CR194" s="46"/>
      <c r="CS194" s="46"/>
      <c r="CT194" s="48"/>
      <c r="CU194" s="48"/>
      <c r="CV194" s="48"/>
      <c r="CW194" s="46"/>
      <c r="CX194" s="46"/>
      <c r="CY194" s="46"/>
      <c r="CZ194" s="46"/>
      <c r="DA194" s="46"/>
      <c r="DB194" s="46"/>
      <c r="DC194" s="46"/>
      <c r="DD194" s="46"/>
      <c r="DE194" s="46"/>
      <c r="DF194" s="46"/>
      <c r="DG194" s="46"/>
      <c r="DH194" s="46"/>
      <c r="DI194" s="120"/>
      <c r="DJ194" s="50"/>
      <c r="DK194" s="50">
        <f t="shared" si="540"/>
        <v>0</v>
      </c>
    </row>
    <row r="195" spans="1:115" s="37" customFormat="1" ht="14.65" hidden="1" thickBot="1">
      <c r="A195" s="24"/>
      <c r="X195" s="74"/>
      <c r="AB195" s="75"/>
      <c r="AD195" s="78"/>
      <c r="AE195" s="78"/>
      <c r="AG195" s="78"/>
      <c r="AH195" s="80"/>
      <c r="AJ195" s="81"/>
      <c r="AL195" s="85"/>
      <c r="AM195" s="85"/>
      <c r="AO195" s="78"/>
      <c r="AR195" s="81"/>
      <c r="AW195" s="78"/>
      <c r="AZ195" s="81"/>
      <c r="BB195" s="78"/>
      <c r="BD195" s="78"/>
      <c r="BG195" s="81"/>
      <c r="BI195" s="78"/>
      <c r="BK195" s="78"/>
      <c r="BN195" s="81"/>
      <c r="BP195" s="78"/>
      <c r="BQ195" s="78"/>
      <c r="BS195" s="78"/>
      <c r="BV195" s="81"/>
      <c r="BX195" s="78"/>
      <c r="BZ195" s="78"/>
      <c r="CC195" s="45"/>
      <c r="CD195" s="36"/>
      <c r="CE195" s="46"/>
      <c r="CF195" s="46"/>
      <c r="CG195" s="46"/>
      <c r="CH195" s="47"/>
      <c r="CI195" s="47"/>
      <c r="CJ195" s="47"/>
      <c r="CK195" s="46"/>
      <c r="CL195" s="46"/>
      <c r="CM195" s="46"/>
      <c r="CN195" s="46"/>
      <c r="CO195" s="46"/>
      <c r="CP195" s="46"/>
      <c r="CQ195" s="48"/>
      <c r="CR195" s="46"/>
      <c r="CS195" s="46"/>
      <c r="CT195" s="48"/>
      <c r="CU195" s="48"/>
      <c r="CV195" s="48"/>
      <c r="CW195" s="46"/>
      <c r="CX195" s="46"/>
      <c r="CY195" s="46"/>
      <c r="CZ195" s="46"/>
      <c r="DA195" s="46"/>
      <c r="DB195" s="46"/>
      <c r="DC195" s="46"/>
      <c r="DD195" s="46"/>
      <c r="DE195" s="46"/>
      <c r="DF195" s="46"/>
      <c r="DG195" s="46"/>
      <c r="DH195" s="46"/>
      <c r="DI195" s="120"/>
      <c r="DJ195" s="50"/>
      <c r="DK195" s="50">
        <f t="shared" si="540"/>
        <v>0</v>
      </c>
    </row>
    <row r="196" spans="1:115" s="37" customFormat="1" ht="33.75" hidden="1" customHeight="1">
      <c r="A196" s="24"/>
      <c r="X196" s="74"/>
      <c r="AB196" s="75"/>
      <c r="AD196" s="78"/>
      <c r="AE196" s="78"/>
      <c r="AG196" s="78"/>
      <c r="AH196" s="80"/>
      <c r="AJ196" s="81"/>
      <c r="AL196" s="85"/>
      <c r="AM196" s="85"/>
      <c r="AO196" s="78"/>
      <c r="AR196" s="81"/>
      <c r="AW196" s="78"/>
      <c r="AZ196" s="81"/>
      <c r="BB196" s="78"/>
      <c r="BD196" s="78"/>
      <c r="BG196" s="81"/>
      <c r="BI196" s="78"/>
      <c r="BK196" s="78"/>
      <c r="BN196" s="81"/>
      <c r="BP196" s="78"/>
      <c r="BQ196" s="78"/>
      <c r="BS196" s="78"/>
      <c r="BV196" s="81"/>
      <c r="BX196" s="78"/>
      <c r="BZ196" s="78"/>
      <c r="CC196" s="45"/>
      <c r="CD196" s="549" t="s">
        <v>378</v>
      </c>
      <c r="CE196" s="92"/>
      <c r="CF196" s="549" t="s">
        <v>349</v>
      </c>
      <c r="CG196" s="92"/>
      <c r="CH196" s="549" t="s">
        <v>283</v>
      </c>
      <c r="CI196" s="549" t="s">
        <v>283</v>
      </c>
      <c r="CJ196" s="549" t="s">
        <v>284</v>
      </c>
      <c r="CK196" s="92"/>
      <c r="CL196" s="549" t="s">
        <v>349</v>
      </c>
      <c r="CM196" s="92"/>
      <c r="CN196" s="549" t="s">
        <v>283</v>
      </c>
      <c r="CO196" s="549" t="s">
        <v>283</v>
      </c>
      <c r="CP196" s="549" t="s">
        <v>284</v>
      </c>
      <c r="CQ196" s="46"/>
      <c r="CR196" s="46"/>
      <c r="CS196" s="46"/>
      <c r="CT196" s="46"/>
      <c r="CU196" s="46"/>
      <c r="CV196" s="46"/>
      <c r="CW196" s="48"/>
      <c r="CX196" s="46"/>
      <c r="CY196" s="46"/>
      <c r="CZ196" s="48"/>
      <c r="DA196" s="48"/>
      <c r="DB196" s="48"/>
      <c r="DC196" s="48"/>
      <c r="DD196" s="46"/>
      <c r="DE196" s="46"/>
      <c r="DF196" s="48"/>
      <c r="DG196" s="48"/>
      <c r="DH196" s="48"/>
      <c r="DI196" s="49"/>
      <c r="DJ196" s="50"/>
      <c r="DK196" s="50" t="str">
        <f t="shared" ref="DK196:DK258" si="553">CI196</f>
        <v>Incertidumbre (+/- %)</v>
      </c>
    </row>
    <row r="197" spans="1:115" s="37" customFormat="1" ht="37.5" hidden="1" customHeight="1" thickBot="1">
      <c r="A197" s="24"/>
      <c r="X197" s="74"/>
      <c r="AB197" s="75"/>
      <c r="AD197" s="78"/>
      <c r="AE197" s="78"/>
      <c r="AG197" s="78"/>
      <c r="AH197" s="80"/>
      <c r="AJ197" s="81"/>
      <c r="AL197" s="85"/>
      <c r="AM197" s="85"/>
      <c r="AO197" s="78"/>
      <c r="AR197" s="81"/>
      <c r="AW197" s="78"/>
      <c r="AZ197" s="81"/>
      <c r="BB197" s="78"/>
      <c r="BD197" s="78"/>
      <c r="BG197" s="81"/>
      <c r="BI197" s="78"/>
      <c r="BK197" s="78"/>
      <c r="BN197" s="81"/>
      <c r="BP197" s="78"/>
      <c r="BQ197" s="78"/>
      <c r="BS197" s="78"/>
      <c r="BV197" s="81"/>
      <c r="BX197" s="78"/>
      <c r="BZ197" s="78"/>
      <c r="CC197" s="45"/>
      <c r="CD197" s="550"/>
      <c r="CE197" s="94" t="s">
        <v>290</v>
      </c>
      <c r="CF197" s="550"/>
      <c r="CG197" s="94" t="s">
        <v>291</v>
      </c>
      <c r="CH197" s="550"/>
      <c r="CI197" s="550"/>
      <c r="CJ197" s="550"/>
      <c r="CK197" s="94" t="s">
        <v>290</v>
      </c>
      <c r="CL197" s="550"/>
      <c r="CM197" s="94" t="s">
        <v>291</v>
      </c>
      <c r="CN197" s="550"/>
      <c r="CO197" s="550"/>
      <c r="CP197" s="550"/>
      <c r="CQ197" s="46"/>
      <c r="CR197" s="46"/>
      <c r="CS197" s="46"/>
      <c r="CT197" s="46"/>
      <c r="CU197" s="46"/>
      <c r="CV197" s="46"/>
      <c r="CW197" s="48"/>
      <c r="CX197" s="46"/>
      <c r="CY197" s="46"/>
      <c r="CZ197" s="48"/>
      <c r="DA197" s="48"/>
      <c r="DB197" s="48"/>
      <c r="DC197" s="48"/>
      <c r="DD197" s="46"/>
      <c r="DE197" s="46"/>
      <c r="DF197" s="48"/>
      <c r="DG197" s="48"/>
      <c r="DH197" s="48"/>
      <c r="DI197" s="49"/>
      <c r="DJ197" s="50"/>
      <c r="DK197" s="50">
        <f t="shared" si="553"/>
        <v>0</v>
      </c>
    </row>
    <row r="198" spans="1:115" s="37" customFormat="1" ht="15.75" hidden="1" thickBot="1">
      <c r="A198" s="24"/>
      <c r="X198" s="74"/>
      <c r="AB198" s="75"/>
      <c r="AD198" s="78"/>
      <c r="AE198" s="78"/>
      <c r="AG198" s="78"/>
      <c r="AH198" s="80"/>
      <c r="AJ198" s="81"/>
      <c r="AL198" s="85"/>
      <c r="AM198" s="85"/>
      <c r="AO198" s="78"/>
      <c r="AR198" s="81"/>
      <c r="AW198" s="78"/>
      <c r="AZ198" s="81"/>
      <c r="BB198" s="78"/>
      <c r="BD198" s="78"/>
      <c r="BG198" s="81"/>
      <c r="BI198" s="78"/>
      <c r="BK198" s="78"/>
      <c r="BN198" s="81"/>
      <c r="BP198" s="78"/>
      <c r="BQ198" s="78"/>
      <c r="BS198" s="78"/>
      <c r="BV198" s="81"/>
      <c r="BX198" s="78"/>
      <c r="BZ198" s="78"/>
      <c r="CC198" s="45"/>
      <c r="CD198" s="99" t="s">
        <v>379</v>
      </c>
      <c r="CE198" s="97" t="s">
        <v>340</v>
      </c>
      <c r="CF198" s="103">
        <v>1</v>
      </c>
      <c r="CG198" s="97" t="s">
        <v>380</v>
      </c>
      <c r="CH198" s="105">
        <v>0.01</v>
      </c>
      <c r="CI198" s="105">
        <v>0.5</v>
      </c>
      <c r="CJ198" s="104" t="s">
        <v>352</v>
      </c>
      <c r="CK198" s="97" t="s">
        <v>340</v>
      </c>
      <c r="CL198" s="103">
        <v>1</v>
      </c>
      <c r="CM198" s="97" t="s">
        <v>353</v>
      </c>
      <c r="CN198" s="105">
        <v>0.01</v>
      </c>
      <c r="CO198" s="105">
        <v>0.5</v>
      </c>
      <c r="CP198" s="104" t="s">
        <v>354</v>
      </c>
      <c r="CQ198" s="46"/>
      <c r="CR198" s="46"/>
      <c r="CS198" s="46"/>
      <c r="CT198" s="46"/>
      <c r="CU198" s="46"/>
      <c r="CV198" s="46"/>
      <c r="CW198" s="48"/>
      <c r="CX198" s="46"/>
      <c r="CY198" s="46"/>
      <c r="CZ198" s="48"/>
      <c r="DA198" s="48"/>
      <c r="DB198" s="48"/>
      <c r="DC198" s="48"/>
      <c r="DD198" s="46"/>
      <c r="DE198" s="46"/>
      <c r="DF198" s="48"/>
      <c r="DG198" s="48"/>
      <c r="DH198" s="48"/>
      <c r="DI198" s="49"/>
      <c r="DJ198" s="50">
        <v>0.01</v>
      </c>
      <c r="DK198" s="50">
        <f t="shared" si="553"/>
        <v>0.5</v>
      </c>
    </row>
    <row r="199" spans="1:115" s="37" customFormat="1" ht="15.75" hidden="1" thickBot="1">
      <c r="A199" s="24"/>
      <c r="X199" s="74"/>
      <c r="AB199" s="75"/>
      <c r="AD199" s="78"/>
      <c r="AE199" s="78"/>
      <c r="AG199" s="78"/>
      <c r="AH199" s="80"/>
      <c r="AJ199" s="81"/>
      <c r="AL199" s="85"/>
      <c r="AM199" s="85"/>
      <c r="AO199" s="78"/>
      <c r="AR199" s="81"/>
      <c r="AW199" s="78"/>
      <c r="AZ199" s="81"/>
      <c r="BB199" s="78"/>
      <c r="BD199" s="78"/>
      <c r="BG199" s="81"/>
      <c r="BI199" s="78"/>
      <c r="BK199" s="78"/>
      <c r="BN199" s="81"/>
      <c r="BP199" s="78"/>
      <c r="BQ199" s="78"/>
      <c r="BS199" s="78"/>
      <c r="BV199" s="81"/>
      <c r="BX199" s="78"/>
      <c r="BZ199" s="78"/>
      <c r="CC199" s="45"/>
      <c r="CD199" s="99" t="s">
        <v>381</v>
      </c>
      <c r="CE199" s="97" t="s">
        <v>340</v>
      </c>
      <c r="CF199" s="103">
        <v>3350</v>
      </c>
      <c r="CG199" s="97" t="s">
        <v>351</v>
      </c>
      <c r="CH199" s="105">
        <v>0.01</v>
      </c>
      <c r="CI199" s="105">
        <v>0.5</v>
      </c>
      <c r="CJ199" s="104" t="s">
        <v>352</v>
      </c>
      <c r="CK199" s="97"/>
      <c r="CL199" s="103"/>
      <c r="CM199" s="97"/>
      <c r="CN199" s="105"/>
      <c r="CO199" s="105"/>
      <c r="CP199" s="104"/>
      <c r="CQ199" s="36"/>
      <c r="CR199" s="36"/>
      <c r="CS199" s="36"/>
      <c r="CT199" s="36"/>
      <c r="CU199" s="36"/>
      <c r="CV199" s="36"/>
      <c r="CW199" s="36"/>
      <c r="CX199" s="36"/>
      <c r="CY199" s="36"/>
      <c r="CZ199" s="110"/>
      <c r="DA199" s="110"/>
      <c r="DB199" s="110"/>
      <c r="DC199" s="48"/>
      <c r="DD199" s="110"/>
      <c r="DE199" s="110"/>
      <c r="DF199" s="48"/>
      <c r="DG199" s="48"/>
      <c r="DH199" s="110"/>
      <c r="DI199" s="49"/>
      <c r="DJ199" s="50">
        <f t="shared" ref="DJ199" si="554">CH199</f>
        <v>0.01</v>
      </c>
      <c r="DK199" s="50">
        <f t="shared" si="553"/>
        <v>0.5</v>
      </c>
    </row>
    <row r="200" spans="1:115" s="37" customFormat="1" hidden="1">
      <c r="A200" s="24"/>
      <c r="X200" s="74"/>
      <c r="AB200" s="75"/>
      <c r="AD200" s="78"/>
      <c r="AE200" s="78"/>
      <c r="AG200" s="78"/>
      <c r="AH200" s="80"/>
      <c r="AJ200" s="81"/>
      <c r="AL200" s="85"/>
      <c r="AM200" s="85"/>
      <c r="AO200" s="78"/>
      <c r="AR200" s="81"/>
      <c r="AW200" s="78"/>
      <c r="AZ200" s="81"/>
      <c r="BB200" s="78"/>
      <c r="BD200" s="78"/>
      <c r="BG200" s="81"/>
      <c r="BI200" s="78"/>
      <c r="BK200" s="78"/>
      <c r="BN200" s="81"/>
      <c r="BP200" s="78"/>
      <c r="BQ200" s="78"/>
      <c r="BS200" s="78"/>
      <c r="BV200" s="81"/>
      <c r="BX200" s="78"/>
      <c r="BZ200" s="78"/>
      <c r="CC200" s="45"/>
      <c r="CD200" s="36"/>
      <c r="CE200" s="46"/>
      <c r="CF200" s="46"/>
      <c r="CG200" s="46"/>
      <c r="CH200" s="47"/>
      <c r="CI200" s="47"/>
      <c r="CJ200" s="47"/>
      <c r="CK200" s="46"/>
      <c r="CL200" s="46"/>
      <c r="CM200" s="46"/>
      <c r="CN200" s="46"/>
      <c r="CO200" s="46"/>
      <c r="CP200" s="46"/>
      <c r="CQ200" s="48"/>
      <c r="CR200" s="46"/>
      <c r="CS200" s="46"/>
      <c r="CT200" s="48"/>
      <c r="CU200" s="48"/>
      <c r="CV200" s="48"/>
      <c r="CW200" s="46"/>
      <c r="CX200" s="46"/>
      <c r="CY200" s="46"/>
      <c r="CZ200" s="46"/>
      <c r="DA200" s="46"/>
      <c r="DB200" s="46"/>
      <c r="DC200" s="46"/>
      <c r="DD200" s="46"/>
      <c r="DE200" s="46"/>
      <c r="DF200" s="46"/>
      <c r="DG200" s="46"/>
      <c r="DH200" s="46"/>
      <c r="DI200" s="120"/>
      <c r="DJ200" s="50"/>
      <c r="DK200" s="50">
        <f t="shared" si="553"/>
        <v>0</v>
      </c>
    </row>
    <row r="201" spans="1:115" s="37" customFormat="1" ht="14.65" hidden="1" thickBot="1">
      <c r="A201" s="24"/>
      <c r="X201" s="74"/>
      <c r="AB201" s="75"/>
      <c r="AD201" s="78"/>
      <c r="AE201" s="78"/>
      <c r="AG201" s="78"/>
      <c r="AH201" s="80"/>
      <c r="AJ201" s="81"/>
      <c r="AL201" s="85"/>
      <c r="AM201" s="85"/>
      <c r="AO201" s="78"/>
      <c r="AR201" s="81"/>
      <c r="AW201" s="78"/>
      <c r="AZ201" s="81"/>
      <c r="BB201" s="78"/>
      <c r="BD201" s="78"/>
      <c r="BG201" s="81"/>
      <c r="BI201" s="78"/>
      <c r="BK201" s="78"/>
      <c r="BN201" s="81"/>
      <c r="BP201" s="78"/>
      <c r="BQ201" s="78"/>
      <c r="BS201" s="78"/>
      <c r="BV201" s="81"/>
      <c r="BX201" s="78"/>
      <c r="BZ201" s="78"/>
      <c r="CC201" s="45"/>
      <c r="CD201" s="36"/>
      <c r="CE201" s="46"/>
      <c r="CF201" s="46"/>
      <c r="CG201" s="46"/>
      <c r="CH201" s="47"/>
      <c r="CI201" s="47"/>
      <c r="CJ201" s="47"/>
      <c r="CK201" s="46"/>
      <c r="CL201" s="46"/>
      <c r="CM201" s="46"/>
      <c r="CN201" s="46"/>
      <c r="CO201" s="46"/>
      <c r="CP201" s="46"/>
      <c r="CQ201" s="48"/>
      <c r="CR201" s="46"/>
      <c r="CS201" s="46"/>
      <c r="CT201" s="48"/>
      <c r="CU201" s="48"/>
      <c r="CV201" s="48"/>
      <c r="CW201" s="46"/>
      <c r="CX201" s="46"/>
      <c r="CY201" s="46"/>
      <c r="CZ201" s="46"/>
      <c r="DA201" s="46"/>
      <c r="DB201" s="46"/>
      <c r="DC201" s="46"/>
      <c r="DD201" s="46"/>
      <c r="DE201" s="46"/>
      <c r="DF201" s="46"/>
      <c r="DG201" s="46"/>
      <c r="DH201" s="46"/>
      <c r="DI201" s="120"/>
      <c r="DJ201" s="50"/>
      <c r="DK201" s="50">
        <f t="shared" si="553"/>
        <v>0</v>
      </c>
    </row>
    <row r="202" spans="1:115" s="37" customFormat="1" hidden="1">
      <c r="A202" s="24"/>
      <c r="X202" s="74"/>
      <c r="AB202" s="75"/>
      <c r="AD202" s="78"/>
      <c r="AE202" s="78"/>
      <c r="AG202" s="78"/>
      <c r="AH202" s="80"/>
      <c r="AJ202" s="81"/>
      <c r="AL202" s="85"/>
      <c r="AM202" s="85"/>
      <c r="AO202" s="78"/>
      <c r="AR202" s="81"/>
      <c r="AW202" s="78"/>
      <c r="AZ202" s="81"/>
      <c r="BB202" s="78"/>
      <c r="BD202" s="78"/>
      <c r="BG202" s="81"/>
      <c r="BI202" s="78"/>
      <c r="BK202" s="78"/>
      <c r="BN202" s="81"/>
      <c r="BP202" s="78"/>
      <c r="BQ202" s="78"/>
      <c r="BS202" s="78"/>
      <c r="BV202" s="81"/>
      <c r="BX202" s="78"/>
      <c r="BZ202" s="78"/>
      <c r="CC202" s="45"/>
      <c r="CD202" s="549" t="s">
        <v>382</v>
      </c>
      <c r="CE202" s="92"/>
      <c r="CF202" s="549" t="s">
        <v>312</v>
      </c>
      <c r="CG202" s="92"/>
      <c r="CH202" s="549" t="s">
        <v>283</v>
      </c>
      <c r="CI202" s="549" t="s">
        <v>283</v>
      </c>
      <c r="CJ202" s="549" t="s">
        <v>284</v>
      </c>
      <c r="CK202" s="46"/>
      <c r="CL202" s="46"/>
      <c r="CM202" s="46"/>
      <c r="CN202" s="46"/>
      <c r="CO202" s="46"/>
      <c r="CP202" s="46"/>
      <c r="CQ202" s="48"/>
      <c r="CR202" s="46"/>
      <c r="CS202" s="46"/>
      <c r="CT202" s="48"/>
      <c r="CU202" s="48"/>
      <c r="CV202" s="48"/>
      <c r="CW202" s="107"/>
      <c r="CX202" s="46"/>
      <c r="CY202" s="46"/>
      <c r="CZ202" s="107"/>
      <c r="DA202" s="107"/>
      <c r="DB202" s="107"/>
      <c r="DC202" s="107"/>
      <c r="DD202" s="46"/>
      <c r="DE202" s="46"/>
      <c r="DF202" s="107"/>
      <c r="DG202" s="107"/>
      <c r="DH202" s="107"/>
      <c r="DI202" s="120"/>
      <c r="DJ202" s="50"/>
      <c r="DK202" s="50" t="str">
        <f t="shared" si="553"/>
        <v>Incertidumbre (+/- %)</v>
      </c>
    </row>
    <row r="203" spans="1:115" s="37" customFormat="1" ht="49.5" hidden="1" customHeight="1" thickBot="1">
      <c r="A203" s="24"/>
      <c r="X203" s="74"/>
      <c r="AB203" s="75"/>
      <c r="AD203" s="78"/>
      <c r="AE203" s="78"/>
      <c r="AG203" s="78"/>
      <c r="AH203" s="80"/>
      <c r="AJ203" s="81"/>
      <c r="AL203" s="85"/>
      <c r="AM203" s="85"/>
      <c r="AO203" s="78"/>
      <c r="AR203" s="81"/>
      <c r="AW203" s="78"/>
      <c r="AZ203" s="81"/>
      <c r="BB203" s="78"/>
      <c r="BD203" s="78"/>
      <c r="BG203" s="81"/>
      <c r="BI203" s="78"/>
      <c r="BK203" s="78"/>
      <c r="BN203" s="81"/>
      <c r="BP203" s="78"/>
      <c r="BQ203" s="78"/>
      <c r="BS203" s="78"/>
      <c r="BV203" s="81"/>
      <c r="BX203" s="78"/>
      <c r="BZ203" s="78"/>
      <c r="CC203" s="45"/>
      <c r="CD203" s="550"/>
      <c r="CE203" s="94" t="s">
        <v>290</v>
      </c>
      <c r="CF203" s="550"/>
      <c r="CG203" s="94" t="s">
        <v>291</v>
      </c>
      <c r="CH203" s="550"/>
      <c r="CI203" s="550"/>
      <c r="CJ203" s="550"/>
      <c r="CK203" s="46"/>
      <c r="CL203" s="46"/>
      <c r="CM203" s="46"/>
      <c r="CN203" s="46"/>
      <c r="CO203" s="46"/>
      <c r="CP203" s="46"/>
      <c r="CQ203" s="48"/>
      <c r="CR203" s="46"/>
      <c r="CS203" s="46"/>
      <c r="CT203" s="48"/>
      <c r="CU203" s="48"/>
      <c r="CV203" s="48"/>
      <c r="CW203" s="107"/>
      <c r="CX203" s="46"/>
      <c r="CY203" s="46"/>
      <c r="CZ203" s="107"/>
      <c r="DA203" s="107"/>
      <c r="DB203" s="107"/>
      <c r="DC203" s="107"/>
      <c r="DD203" s="46"/>
      <c r="DE203" s="46"/>
      <c r="DF203" s="107"/>
      <c r="DG203" s="107"/>
      <c r="DH203" s="107"/>
      <c r="DI203" s="120"/>
      <c r="DJ203" s="50"/>
      <c r="DK203" s="50">
        <f t="shared" si="553"/>
        <v>0</v>
      </c>
    </row>
    <row r="204" spans="1:115" s="37" customFormat="1" ht="15.75" hidden="1" thickBot="1">
      <c r="A204" s="24"/>
      <c r="X204" s="74"/>
      <c r="AB204" s="75"/>
      <c r="AD204" s="78"/>
      <c r="AE204" s="78"/>
      <c r="AG204" s="78"/>
      <c r="AH204" s="80"/>
      <c r="AJ204" s="81"/>
      <c r="AL204" s="85"/>
      <c r="AM204" s="85"/>
      <c r="AO204" s="78"/>
      <c r="AR204" s="81"/>
      <c r="AW204" s="78"/>
      <c r="AZ204" s="81"/>
      <c r="BB204" s="78"/>
      <c r="BD204" s="78"/>
      <c r="BG204" s="81"/>
      <c r="BI204" s="78"/>
      <c r="BK204" s="78"/>
      <c r="BN204" s="81"/>
      <c r="BP204" s="78"/>
      <c r="BQ204" s="78"/>
      <c r="BS204" s="78"/>
      <c r="BV204" s="81"/>
      <c r="BX204" s="78"/>
      <c r="BZ204" s="78"/>
      <c r="CC204" s="45"/>
      <c r="CD204" s="99" t="s">
        <v>383</v>
      </c>
      <c r="CE204" s="97" t="s">
        <v>318</v>
      </c>
      <c r="CF204" s="103">
        <f>20*0.2*(44/12)*40.2/1000*0.7</f>
        <v>0.41271999999999998</v>
      </c>
      <c r="CG204" s="97" t="s">
        <v>384</v>
      </c>
      <c r="CH204" s="105">
        <v>0.01</v>
      </c>
      <c r="CI204" s="105">
        <v>0.5</v>
      </c>
      <c r="CJ204" s="104" t="s">
        <v>385</v>
      </c>
      <c r="CK204" s="46"/>
      <c r="CL204" s="46"/>
      <c r="CM204" s="46"/>
      <c r="CN204" s="46"/>
      <c r="CO204" s="46"/>
      <c r="CP204" s="46"/>
      <c r="CQ204" s="48"/>
      <c r="CR204" s="46"/>
      <c r="CS204" s="46"/>
      <c r="CT204" s="48"/>
      <c r="CU204" s="48"/>
      <c r="CV204" s="48"/>
      <c r="CW204" s="48"/>
      <c r="CX204" s="46"/>
      <c r="CY204" s="46"/>
      <c r="CZ204" s="48"/>
      <c r="DA204" s="48"/>
      <c r="DB204" s="48"/>
      <c r="DC204" s="48"/>
      <c r="DD204" s="46"/>
      <c r="DE204" s="46"/>
      <c r="DF204" s="48"/>
      <c r="DG204" s="48"/>
      <c r="DH204" s="48"/>
      <c r="DI204" s="49"/>
      <c r="DJ204" s="50">
        <v>0.15</v>
      </c>
      <c r="DK204" s="50">
        <f t="shared" si="553"/>
        <v>0.5</v>
      </c>
    </row>
    <row r="205" spans="1:115" s="37" customFormat="1" ht="15.75" hidden="1" thickBot="1">
      <c r="A205" s="24"/>
      <c r="X205" s="74"/>
      <c r="AB205" s="75"/>
      <c r="AD205" s="78"/>
      <c r="AE205" s="78"/>
      <c r="AG205" s="78"/>
      <c r="AH205" s="80"/>
      <c r="AJ205" s="81"/>
      <c r="AL205" s="85"/>
      <c r="AM205" s="85"/>
      <c r="AO205" s="78"/>
      <c r="AR205" s="81"/>
      <c r="AW205" s="78"/>
      <c r="AZ205" s="81"/>
      <c r="BB205" s="78"/>
      <c r="BD205" s="78"/>
      <c r="BG205" s="81"/>
      <c r="BI205" s="78"/>
      <c r="BK205" s="78"/>
      <c r="BN205" s="81"/>
      <c r="BP205" s="78"/>
      <c r="BQ205" s="78"/>
      <c r="BS205" s="78"/>
      <c r="BV205" s="81"/>
      <c r="BX205" s="78"/>
      <c r="BZ205" s="78"/>
      <c r="CC205" s="45"/>
      <c r="CD205" s="99" t="s">
        <v>386</v>
      </c>
      <c r="CE205" s="97" t="s">
        <v>340</v>
      </c>
      <c r="CF205" s="103">
        <f>20*0.2*(44/12)*40.2/1000</f>
        <v>0.58960000000000001</v>
      </c>
      <c r="CG205" s="97" t="s">
        <v>380</v>
      </c>
      <c r="CH205" s="105">
        <v>0.01</v>
      </c>
      <c r="CI205" s="105">
        <v>0.5</v>
      </c>
      <c r="CJ205" s="104" t="s">
        <v>385</v>
      </c>
      <c r="CK205" s="46"/>
      <c r="CL205" s="46"/>
      <c r="CM205" s="46"/>
      <c r="CN205" s="46"/>
      <c r="CO205" s="46"/>
      <c r="CP205" s="46"/>
      <c r="CQ205" s="48"/>
      <c r="CR205" s="46"/>
      <c r="CS205" s="46"/>
      <c r="CT205" s="48"/>
      <c r="CU205" s="48"/>
      <c r="CV205" s="48"/>
      <c r="CW205" s="48"/>
      <c r="CX205" s="46"/>
      <c r="CY205" s="46"/>
      <c r="CZ205" s="48"/>
      <c r="DA205" s="48"/>
      <c r="DB205" s="48"/>
      <c r="DC205" s="48"/>
      <c r="DD205" s="46"/>
      <c r="DE205" s="46"/>
      <c r="DF205" s="48"/>
      <c r="DG205" s="48"/>
      <c r="DH205" s="48"/>
      <c r="DI205" s="49"/>
      <c r="DJ205" s="50">
        <v>0.15</v>
      </c>
      <c r="DK205" s="50">
        <f t="shared" si="553"/>
        <v>0.5</v>
      </c>
    </row>
    <row r="206" spans="1:115" s="37" customFormat="1" hidden="1">
      <c r="A206" s="24"/>
      <c r="X206" s="74"/>
      <c r="AB206" s="75"/>
      <c r="AD206" s="78"/>
      <c r="AE206" s="78"/>
      <c r="AG206" s="78"/>
      <c r="AH206" s="80"/>
      <c r="AJ206" s="81"/>
      <c r="AL206" s="85"/>
      <c r="AM206" s="85"/>
      <c r="AO206" s="78"/>
      <c r="AR206" s="81"/>
      <c r="AW206" s="78"/>
      <c r="AZ206" s="81"/>
      <c r="BB206" s="78"/>
      <c r="BD206" s="78"/>
      <c r="BG206" s="81"/>
      <c r="BI206" s="78"/>
      <c r="BK206" s="78"/>
      <c r="BN206" s="81"/>
      <c r="BP206" s="78"/>
      <c r="BQ206" s="78"/>
      <c r="BS206" s="78"/>
      <c r="BV206" s="81"/>
      <c r="BX206" s="78"/>
      <c r="BZ206" s="78"/>
      <c r="CC206" s="45"/>
      <c r="CD206" s="36"/>
      <c r="CE206" s="46"/>
      <c r="CF206" s="46"/>
      <c r="CG206" s="46"/>
      <c r="CH206" s="47"/>
      <c r="CI206" s="47"/>
      <c r="CJ206" s="47"/>
      <c r="CK206" s="46"/>
      <c r="CL206" s="46"/>
      <c r="CM206" s="46"/>
      <c r="CN206" s="46"/>
      <c r="CO206" s="46"/>
      <c r="CP206" s="46"/>
      <c r="CQ206" s="48"/>
      <c r="CR206" s="46"/>
      <c r="CS206" s="46"/>
      <c r="CT206" s="48"/>
      <c r="CU206" s="48"/>
      <c r="CV206" s="48"/>
      <c r="CW206" s="48"/>
      <c r="CX206" s="46"/>
      <c r="CY206" s="46"/>
      <c r="CZ206" s="48"/>
      <c r="DA206" s="48"/>
      <c r="DB206" s="48"/>
      <c r="DC206" s="48"/>
      <c r="DD206" s="46"/>
      <c r="DE206" s="46"/>
      <c r="DF206" s="48"/>
      <c r="DG206" s="48"/>
      <c r="DH206" s="48"/>
      <c r="DI206" s="49"/>
      <c r="DJ206" s="50"/>
      <c r="DK206" s="50">
        <f t="shared" si="553"/>
        <v>0</v>
      </c>
    </row>
    <row r="207" spans="1:115" s="37" customFormat="1" ht="14.65" hidden="1" thickBot="1">
      <c r="A207" s="24"/>
      <c r="X207" s="74"/>
      <c r="AB207" s="75"/>
      <c r="AD207" s="78"/>
      <c r="AE207" s="78"/>
      <c r="AG207" s="78"/>
      <c r="AH207" s="80"/>
      <c r="AJ207" s="81"/>
      <c r="AL207" s="85"/>
      <c r="AM207" s="85"/>
      <c r="AO207" s="78"/>
      <c r="AR207" s="81"/>
      <c r="AW207" s="78"/>
      <c r="AZ207" s="81"/>
      <c r="BB207" s="78"/>
      <c r="BD207" s="78"/>
      <c r="BG207" s="81"/>
      <c r="BI207" s="78"/>
      <c r="BK207" s="78"/>
      <c r="BN207" s="81"/>
      <c r="BP207" s="78"/>
      <c r="BQ207" s="78"/>
      <c r="BS207" s="78"/>
      <c r="BV207" s="81"/>
      <c r="BX207" s="78"/>
      <c r="BZ207" s="78"/>
      <c r="CC207" s="45"/>
      <c r="CD207" s="36"/>
      <c r="CE207" s="46"/>
      <c r="CF207" s="46"/>
      <c r="CG207" s="46"/>
      <c r="CH207" s="47"/>
      <c r="CI207" s="47"/>
      <c r="CJ207" s="47"/>
      <c r="CK207" s="46"/>
      <c r="CL207" s="46"/>
      <c r="CM207" s="46"/>
      <c r="CN207" s="46"/>
      <c r="CO207" s="46"/>
      <c r="CP207" s="46"/>
      <c r="CQ207" s="48"/>
      <c r="CR207" s="46"/>
      <c r="CS207" s="46"/>
      <c r="CT207" s="48"/>
      <c r="CU207" s="48"/>
      <c r="CV207" s="48"/>
      <c r="CW207" s="48"/>
      <c r="CX207" s="46"/>
      <c r="CY207" s="46"/>
      <c r="CZ207" s="48"/>
      <c r="DA207" s="48"/>
      <c r="DB207" s="48"/>
      <c r="DC207" s="48"/>
      <c r="DD207" s="46"/>
      <c r="DE207" s="46"/>
      <c r="DF207" s="48"/>
      <c r="DG207" s="48"/>
      <c r="DH207" s="48"/>
      <c r="DI207" s="49"/>
      <c r="DJ207" s="50"/>
      <c r="DK207" s="50">
        <f t="shared" si="553"/>
        <v>0</v>
      </c>
    </row>
    <row r="208" spans="1:115" s="37" customFormat="1" hidden="1">
      <c r="A208" s="24"/>
      <c r="X208" s="74"/>
      <c r="AB208" s="75"/>
      <c r="AD208" s="78"/>
      <c r="AE208" s="78"/>
      <c r="AG208" s="78"/>
      <c r="AH208" s="80"/>
      <c r="AJ208" s="81"/>
      <c r="AL208" s="85"/>
      <c r="AM208" s="85"/>
      <c r="AO208" s="78"/>
      <c r="AR208" s="81"/>
      <c r="AW208" s="78"/>
      <c r="AZ208" s="81"/>
      <c r="BB208" s="78"/>
      <c r="BD208" s="78"/>
      <c r="BG208" s="81"/>
      <c r="BI208" s="78"/>
      <c r="BK208" s="78"/>
      <c r="BN208" s="81"/>
      <c r="BP208" s="78"/>
      <c r="BQ208" s="78"/>
      <c r="BS208" s="78"/>
      <c r="BV208" s="81"/>
      <c r="BX208" s="78"/>
      <c r="BZ208" s="78"/>
      <c r="CC208" s="45"/>
      <c r="CD208" s="549" t="s">
        <v>387</v>
      </c>
      <c r="CE208" s="92"/>
      <c r="CF208" s="549" t="s">
        <v>349</v>
      </c>
      <c r="CG208" s="92"/>
      <c r="CH208" s="549" t="s">
        <v>283</v>
      </c>
      <c r="CI208" s="549" t="s">
        <v>283</v>
      </c>
      <c r="CJ208" s="549" t="s">
        <v>284</v>
      </c>
      <c r="CK208" s="46"/>
      <c r="CL208" s="46"/>
      <c r="CM208" s="46"/>
      <c r="CN208" s="46"/>
      <c r="CO208" s="46"/>
      <c r="CP208" s="46"/>
      <c r="CQ208" s="48"/>
      <c r="CR208" s="46"/>
      <c r="CS208" s="46"/>
      <c r="CT208" s="48"/>
      <c r="CU208" s="48"/>
      <c r="CV208" s="48"/>
      <c r="CW208" s="48"/>
      <c r="CX208" s="46"/>
      <c r="CY208" s="46"/>
      <c r="CZ208" s="48"/>
      <c r="DA208" s="48"/>
      <c r="DB208" s="48"/>
      <c r="DC208" s="48"/>
      <c r="DD208" s="46"/>
      <c r="DE208" s="46"/>
      <c r="DF208" s="48"/>
      <c r="DG208" s="48"/>
      <c r="DH208" s="48"/>
      <c r="DI208" s="49"/>
      <c r="DJ208" s="50"/>
      <c r="DK208" s="50" t="str">
        <f t="shared" si="553"/>
        <v>Incertidumbre (+/- %)</v>
      </c>
    </row>
    <row r="209" spans="1:115" s="37" customFormat="1" ht="41.25" hidden="1" customHeight="1" thickBot="1">
      <c r="A209" s="24"/>
      <c r="X209" s="74"/>
      <c r="AB209" s="75"/>
      <c r="AD209" s="78"/>
      <c r="AE209" s="78"/>
      <c r="AG209" s="78"/>
      <c r="AH209" s="80"/>
      <c r="AJ209" s="81"/>
      <c r="AL209" s="85"/>
      <c r="AM209" s="85"/>
      <c r="AO209" s="78"/>
      <c r="AR209" s="81"/>
      <c r="AW209" s="78"/>
      <c r="AZ209" s="81"/>
      <c r="BB209" s="78"/>
      <c r="BD209" s="78"/>
      <c r="BG209" s="81"/>
      <c r="BI209" s="78"/>
      <c r="BK209" s="78"/>
      <c r="BN209" s="81"/>
      <c r="BP209" s="78"/>
      <c r="BQ209" s="78"/>
      <c r="BS209" s="78"/>
      <c r="BV209" s="81"/>
      <c r="BX209" s="78"/>
      <c r="BZ209" s="78"/>
      <c r="CC209" s="45"/>
      <c r="CD209" s="550"/>
      <c r="CE209" s="94" t="s">
        <v>290</v>
      </c>
      <c r="CF209" s="550"/>
      <c r="CG209" s="94" t="s">
        <v>291</v>
      </c>
      <c r="CH209" s="550"/>
      <c r="CI209" s="550"/>
      <c r="CJ209" s="550"/>
      <c r="CK209" s="46"/>
      <c r="CL209" s="46"/>
      <c r="CM209" s="46"/>
      <c r="CN209" s="46"/>
      <c r="CO209" s="46"/>
      <c r="CP209" s="46"/>
      <c r="CQ209" s="48"/>
      <c r="CR209" s="46"/>
      <c r="CS209" s="46"/>
      <c r="CT209" s="48"/>
      <c r="CU209" s="48"/>
      <c r="CV209" s="48"/>
      <c r="CW209" s="48"/>
      <c r="CX209" s="46"/>
      <c r="CY209" s="46"/>
      <c r="CZ209" s="48"/>
      <c r="DA209" s="48"/>
      <c r="DB209" s="48"/>
      <c r="DC209" s="48"/>
      <c r="DD209" s="46"/>
      <c r="DE209" s="46"/>
      <c r="DF209" s="48"/>
      <c r="DG209" s="48"/>
      <c r="DH209" s="48"/>
      <c r="DI209" s="49"/>
      <c r="DJ209" s="50"/>
      <c r="DK209" s="50">
        <f t="shared" si="553"/>
        <v>0</v>
      </c>
    </row>
    <row r="210" spans="1:115" s="37" customFormat="1" ht="15.75" hidden="1" thickBot="1">
      <c r="A210" s="24"/>
      <c r="X210" s="74"/>
      <c r="AB210" s="75"/>
      <c r="AD210" s="78"/>
      <c r="AE210" s="78"/>
      <c r="AG210" s="78"/>
      <c r="AH210" s="80"/>
      <c r="AJ210" s="81"/>
      <c r="AL210" s="85"/>
      <c r="AM210" s="85"/>
      <c r="AO210" s="78"/>
      <c r="AR210" s="81"/>
      <c r="AW210" s="78"/>
      <c r="AZ210" s="81"/>
      <c r="BB210" s="78"/>
      <c r="BD210" s="78"/>
      <c r="BG210" s="81"/>
      <c r="BI210" s="78"/>
      <c r="BK210" s="78"/>
      <c r="BN210" s="81"/>
      <c r="BP210" s="78"/>
      <c r="BQ210" s="78"/>
      <c r="BS210" s="78"/>
      <c r="BV210" s="81"/>
      <c r="BX210" s="78"/>
      <c r="BZ210" s="78"/>
      <c r="CC210" s="45"/>
      <c r="CD210" s="99" t="s">
        <v>388</v>
      </c>
      <c r="CE210" s="97" t="s">
        <v>340</v>
      </c>
      <c r="CF210" s="103">
        <v>1</v>
      </c>
      <c r="CG210" s="97" t="s">
        <v>380</v>
      </c>
      <c r="CH210" s="105">
        <v>0.01</v>
      </c>
      <c r="CI210" s="105">
        <v>0.5</v>
      </c>
      <c r="CJ210" s="104" t="s">
        <v>352</v>
      </c>
      <c r="CK210" s="46"/>
      <c r="CL210" s="46"/>
      <c r="CM210" s="46"/>
      <c r="CN210" s="46"/>
      <c r="CO210" s="46"/>
      <c r="CP210" s="46"/>
      <c r="CQ210" s="48"/>
      <c r="CR210" s="46"/>
      <c r="CS210" s="46"/>
      <c r="CT210" s="48"/>
      <c r="CU210" s="48"/>
      <c r="CV210" s="48"/>
      <c r="CW210" s="48"/>
      <c r="CX210" s="46"/>
      <c r="CY210" s="46"/>
      <c r="CZ210" s="48"/>
      <c r="DA210" s="48"/>
      <c r="DB210" s="48"/>
      <c r="DC210" s="48"/>
      <c r="DD210" s="46"/>
      <c r="DE210" s="46"/>
      <c r="DF210" s="48"/>
      <c r="DG210" s="48"/>
      <c r="DH210" s="48"/>
      <c r="DI210" s="49"/>
      <c r="DJ210" s="50">
        <v>0.01</v>
      </c>
      <c r="DK210" s="50">
        <f t="shared" si="553"/>
        <v>0.5</v>
      </c>
    </row>
    <row r="211" spans="1:115" s="37" customFormat="1" hidden="1">
      <c r="A211" s="24"/>
      <c r="X211" s="74"/>
      <c r="AB211" s="75"/>
      <c r="AD211" s="78"/>
      <c r="AE211" s="78"/>
      <c r="AG211" s="78"/>
      <c r="AH211" s="80"/>
      <c r="AJ211" s="81"/>
      <c r="AL211" s="85"/>
      <c r="AM211" s="85"/>
      <c r="AO211" s="78"/>
      <c r="AR211" s="81"/>
      <c r="AW211" s="78"/>
      <c r="AZ211" s="81"/>
      <c r="BB211" s="78"/>
      <c r="BD211" s="78"/>
      <c r="BG211" s="81"/>
      <c r="BI211" s="78"/>
      <c r="BK211" s="78"/>
      <c r="BN211" s="81"/>
      <c r="BP211" s="78"/>
      <c r="BQ211" s="78"/>
      <c r="BS211" s="78"/>
      <c r="BV211" s="81"/>
      <c r="BX211" s="78"/>
      <c r="BZ211" s="78"/>
      <c r="CC211" s="45"/>
      <c r="CD211" s="115"/>
      <c r="CE211" s="116"/>
      <c r="CF211" s="116"/>
      <c r="CG211" s="116"/>
      <c r="CH211" s="119"/>
      <c r="CI211" s="119"/>
      <c r="CJ211" s="119"/>
      <c r="CK211" s="46"/>
      <c r="CL211" s="46"/>
      <c r="CM211" s="46"/>
      <c r="CN211" s="46"/>
      <c r="CO211" s="46"/>
      <c r="CP211" s="46"/>
      <c r="CQ211" s="48"/>
      <c r="CR211" s="46"/>
      <c r="CS211" s="46"/>
      <c r="CT211" s="48"/>
      <c r="CU211" s="48"/>
      <c r="CV211" s="48"/>
      <c r="CW211" s="48"/>
      <c r="CX211" s="46"/>
      <c r="CY211" s="46"/>
      <c r="CZ211" s="48"/>
      <c r="DA211" s="48"/>
      <c r="DB211" s="48"/>
      <c r="DC211" s="48"/>
      <c r="DD211" s="46"/>
      <c r="DE211" s="46"/>
      <c r="DF211" s="48"/>
      <c r="DG211" s="48"/>
      <c r="DH211" s="48"/>
      <c r="DI211" s="49"/>
      <c r="DJ211" s="50"/>
      <c r="DK211" s="50">
        <f t="shared" si="553"/>
        <v>0</v>
      </c>
    </row>
    <row r="212" spans="1:115" s="37" customFormat="1" ht="14.65" hidden="1" thickBot="1">
      <c r="A212" s="24"/>
      <c r="X212" s="74"/>
      <c r="AB212" s="75"/>
      <c r="AD212" s="78"/>
      <c r="AE212" s="78"/>
      <c r="AG212" s="78"/>
      <c r="AH212" s="80"/>
      <c r="AJ212" s="81"/>
      <c r="AL212" s="85"/>
      <c r="AM212" s="85"/>
      <c r="AO212" s="78"/>
      <c r="AR212" s="81"/>
      <c r="AW212" s="78"/>
      <c r="AZ212" s="81"/>
      <c r="BB212" s="78"/>
      <c r="BD212" s="78"/>
      <c r="BG212" s="81"/>
      <c r="BI212" s="78"/>
      <c r="BK212" s="78"/>
      <c r="BN212" s="81"/>
      <c r="BP212" s="78"/>
      <c r="BQ212" s="78"/>
      <c r="BS212" s="78"/>
      <c r="BV212" s="81"/>
      <c r="BX212" s="78"/>
      <c r="BZ212" s="78"/>
      <c r="CC212" s="45"/>
      <c r="CD212" s="115"/>
      <c r="CE212" s="116"/>
      <c r="CF212" s="116"/>
      <c r="CG212" s="116"/>
      <c r="CH212" s="119"/>
      <c r="CI212" s="119"/>
      <c r="CJ212" s="119"/>
      <c r="CK212" s="46"/>
      <c r="CL212" s="46"/>
      <c r="CM212" s="46"/>
      <c r="CN212" s="46"/>
      <c r="CO212" s="46"/>
      <c r="CP212" s="46"/>
      <c r="CQ212" s="48"/>
      <c r="CR212" s="46"/>
      <c r="CS212" s="46"/>
      <c r="CT212" s="48"/>
      <c r="CU212" s="48"/>
      <c r="CV212" s="48"/>
      <c r="CW212" s="48"/>
      <c r="CX212" s="46"/>
      <c r="CY212" s="46"/>
      <c r="CZ212" s="48"/>
      <c r="DA212" s="48"/>
      <c r="DB212" s="48"/>
      <c r="DC212" s="48"/>
      <c r="DD212" s="46"/>
      <c r="DE212" s="46"/>
      <c r="DF212" s="48"/>
      <c r="DG212" s="48"/>
      <c r="DH212" s="48"/>
      <c r="DI212" s="49"/>
      <c r="DJ212" s="50"/>
      <c r="DK212" s="50">
        <f t="shared" si="553"/>
        <v>0</v>
      </c>
    </row>
    <row r="213" spans="1:115" s="37" customFormat="1" hidden="1">
      <c r="A213" s="24"/>
      <c r="X213" s="74"/>
      <c r="AB213" s="75"/>
      <c r="AD213" s="78"/>
      <c r="AE213" s="78"/>
      <c r="AG213" s="78"/>
      <c r="AH213" s="80"/>
      <c r="AJ213" s="81"/>
      <c r="AL213" s="85"/>
      <c r="AM213" s="85"/>
      <c r="AO213" s="78"/>
      <c r="AR213" s="81"/>
      <c r="AW213" s="78"/>
      <c r="AZ213" s="81"/>
      <c r="BB213" s="78"/>
      <c r="BD213" s="78"/>
      <c r="BG213" s="81"/>
      <c r="BI213" s="78"/>
      <c r="BK213" s="78"/>
      <c r="BN213" s="81"/>
      <c r="BP213" s="78"/>
      <c r="BQ213" s="78"/>
      <c r="BS213" s="78"/>
      <c r="BV213" s="81"/>
      <c r="BX213" s="78"/>
      <c r="BZ213" s="78"/>
      <c r="CC213" s="45"/>
      <c r="CD213" s="549" t="s">
        <v>389</v>
      </c>
      <c r="CE213" s="92"/>
      <c r="CF213" s="549" t="s">
        <v>349</v>
      </c>
      <c r="CG213" s="92"/>
      <c r="CH213" s="549" t="s">
        <v>283</v>
      </c>
      <c r="CI213" s="549" t="s">
        <v>283</v>
      </c>
      <c r="CJ213" s="549" t="s">
        <v>284</v>
      </c>
      <c r="CK213" s="92"/>
      <c r="CL213" s="549" t="s">
        <v>349</v>
      </c>
      <c r="CM213" s="92"/>
      <c r="CN213" s="549" t="s">
        <v>283</v>
      </c>
      <c r="CO213" s="549" t="s">
        <v>283</v>
      </c>
      <c r="CP213" s="549" t="s">
        <v>284</v>
      </c>
      <c r="CQ213" s="48"/>
      <c r="CR213" s="46"/>
      <c r="CS213" s="46"/>
      <c r="CT213" s="48"/>
      <c r="CU213" s="48"/>
      <c r="CV213" s="48"/>
      <c r="CW213" s="48"/>
      <c r="CX213" s="46"/>
      <c r="CY213" s="46"/>
      <c r="CZ213" s="48"/>
      <c r="DA213" s="48"/>
      <c r="DB213" s="48"/>
      <c r="DC213" s="48"/>
      <c r="DD213" s="46"/>
      <c r="DE213" s="46"/>
      <c r="DF213" s="48"/>
      <c r="DG213" s="48"/>
      <c r="DH213" s="48"/>
      <c r="DI213" s="49"/>
      <c r="DJ213" s="50"/>
      <c r="DK213" s="50" t="str">
        <f t="shared" si="553"/>
        <v>Incertidumbre (+/- %)</v>
      </c>
    </row>
    <row r="214" spans="1:115" s="37" customFormat="1" ht="14.65" hidden="1" thickBot="1">
      <c r="A214" s="24"/>
      <c r="X214" s="74"/>
      <c r="AB214" s="75"/>
      <c r="AD214" s="78"/>
      <c r="AE214" s="78"/>
      <c r="AG214" s="78"/>
      <c r="AH214" s="80"/>
      <c r="AJ214" s="81"/>
      <c r="AL214" s="85"/>
      <c r="AM214" s="85"/>
      <c r="AO214" s="78"/>
      <c r="AR214" s="81"/>
      <c r="AW214" s="78"/>
      <c r="AZ214" s="81"/>
      <c r="BB214" s="78"/>
      <c r="BD214" s="78"/>
      <c r="BG214" s="81"/>
      <c r="BI214" s="78"/>
      <c r="BK214" s="78"/>
      <c r="BN214" s="81"/>
      <c r="BP214" s="78"/>
      <c r="BQ214" s="78"/>
      <c r="BS214" s="78"/>
      <c r="BV214" s="81"/>
      <c r="BX214" s="78"/>
      <c r="BZ214" s="78"/>
      <c r="CC214" s="45"/>
      <c r="CD214" s="550"/>
      <c r="CE214" s="94" t="s">
        <v>290</v>
      </c>
      <c r="CF214" s="550"/>
      <c r="CG214" s="94" t="s">
        <v>291</v>
      </c>
      <c r="CH214" s="550"/>
      <c r="CI214" s="550"/>
      <c r="CJ214" s="550"/>
      <c r="CK214" s="94" t="s">
        <v>290</v>
      </c>
      <c r="CL214" s="550"/>
      <c r="CM214" s="94" t="s">
        <v>291</v>
      </c>
      <c r="CN214" s="550"/>
      <c r="CO214" s="550"/>
      <c r="CP214" s="550"/>
      <c r="CQ214" s="48"/>
      <c r="CR214" s="46"/>
      <c r="CS214" s="46"/>
      <c r="CT214" s="48"/>
      <c r="CU214" s="48"/>
      <c r="CV214" s="48"/>
      <c r="CW214" s="48"/>
      <c r="CX214" s="46"/>
      <c r="CY214" s="46"/>
      <c r="CZ214" s="48"/>
      <c r="DA214" s="48"/>
      <c r="DB214" s="48"/>
      <c r="DC214" s="48"/>
      <c r="DD214" s="46"/>
      <c r="DE214" s="46"/>
      <c r="DF214" s="48"/>
      <c r="DG214" s="48"/>
      <c r="DH214" s="48"/>
      <c r="DI214" s="49"/>
      <c r="DJ214" s="50"/>
      <c r="DK214" s="50">
        <f t="shared" si="553"/>
        <v>0</v>
      </c>
    </row>
    <row r="215" spans="1:115" s="37" customFormat="1" ht="15.75" hidden="1" thickBot="1">
      <c r="A215" s="24"/>
      <c r="X215" s="74"/>
      <c r="AB215" s="75"/>
      <c r="AD215" s="78"/>
      <c r="AE215" s="78"/>
      <c r="AG215" s="78"/>
      <c r="AH215" s="80"/>
      <c r="AJ215" s="81"/>
      <c r="AL215" s="85"/>
      <c r="AM215" s="85"/>
      <c r="AO215" s="78"/>
      <c r="AR215" s="81"/>
      <c r="AW215" s="78"/>
      <c r="AZ215" s="81"/>
      <c r="BB215" s="78"/>
      <c r="BD215" s="78"/>
      <c r="BG215" s="81"/>
      <c r="BI215" s="78"/>
      <c r="BK215" s="78"/>
      <c r="BN215" s="81"/>
      <c r="BP215" s="78"/>
      <c r="BQ215" s="78"/>
      <c r="BS215" s="78"/>
      <c r="BV215" s="81"/>
      <c r="BX215" s="78"/>
      <c r="BZ215" s="78"/>
      <c r="CC215" s="45"/>
      <c r="CD215" s="99" t="s">
        <v>390</v>
      </c>
      <c r="CE215" s="97" t="s">
        <v>340</v>
      </c>
      <c r="CF215" s="103">
        <f>CE435</f>
        <v>23500</v>
      </c>
      <c r="CG215" s="97" t="s">
        <v>391</v>
      </c>
      <c r="CH215" s="105">
        <v>0.01</v>
      </c>
      <c r="CI215" s="105">
        <v>0.5</v>
      </c>
      <c r="CJ215" s="104" t="s">
        <v>352</v>
      </c>
      <c r="CK215" s="97" t="s">
        <v>340</v>
      </c>
      <c r="CL215" s="103">
        <v>22800</v>
      </c>
      <c r="CM215" s="97" t="s">
        <v>353</v>
      </c>
      <c r="CN215" s="105">
        <v>0.01</v>
      </c>
      <c r="CO215" s="105">
        <v>0.5</v>
      </c>
      <c r="CP215" s="104" t="s">
        <v>354</v>
      </c>
      <c r="CQ215" s="48"/>
      <c r="CR215" s="46"/>
      <c r="CS215" s="46"/>
      <c r="CT215" s="48"/>
      <c r="CU215" s="48"/>
      <c r="CV215" s="48"/>
      <c r="CW215" s="48"/>
      <c r="CX215" s="46"/>
      <c r="CY215" s="46"/>
      <c r="CZ215" s="48"/>
      <c r="DA215" s="48"/>
      <c r="DB215" s="48"/>
      <c r="DC215" s="48"/>
      <c r="DD215" s="46"/>
      <c r="DE215" s="46"/>
      <c r="DF215" s="48"/>
      <c r="DG215" s="48"/>
      <c r="DH215" s="48"/>
      <c r="DI215" s="49"/>
      <c r="DJ215" s="50">
        <v>0.01</v>
      </c>
      <c r="DK215" s="50">
        <f t="shared" si="553"/>
        <v>0.5</v>
      </c>
    </row>
    <row r="216" spans="1:115" s="37" customFormat="1" hidden="1">
      <c r="A216" s="24"/>
      <c r="X216" s="74"/>
      <c r="AB216" s="75"/>
      <c r="AD216" s="78"/>
      <c r="AE216" s="78"/>
      <c r="AG216" s="78"/>
      <c r="AH216" s="80"/>
      <c r="AJ216" s="81"/>
      <c r="AL216" s="85"/>
      <c r="AM216" s="85"/>
      <c r="AO216" s="78"/>
      <c r="AR216" s="81"/>
      <c r="AW216" s="78"/>
      <c r="AZ216" s="81"/>
      <c r="BB216" s="78"/>
      <c r="BD216" s="78"/>
      <c r="BG216" s="81"/>
      <c r="BI216" s="78"/>
      <c r="BK216" s="78"/>
      <c r="BN216" s="81"/>
      <c r="BP216" s="78"/>
      <c r="BQ216" s="78"/>
      <c r="BS216" s="78"/>
      <c r="BV216" s="81"/>
      <c r="BX216" s="78"/>
      <c r="BZ216" s="78"/>
      <c r="CC216" s="45"/>
      <c r="CD216" s="115"/>
      <c r="CE216" s="116"/>
      <c r="CF216" s="116"/>
      <c r="CG216" s="116"/>
      <c r="CH216" s="119"/>
      <c r="CI216" s="119"/>
      <c r="CJ216" s="119"/>
      <c r="CK216" s="46"/>
      <c r="CL216" s="46"/>
      <c r="CM216" s="46"/>
      <c r="CN216" s="46"/>
      <c r="CO216" s="46"/>
      <c r="CP216" s="46"/>
      <c r="CQ216" s="48"/>
      <c r="CR216" s="46"/>
      <c r="CS216" s="46"/>
      <c r="CT216" s="48"/>
      <c r="CU216" s="48"/>
      <c r="CV216" s="48"/>
      <c r="CW216" s="48"/>
      <c r="CX216" s="46"/>
      <c r="CY216" s="46"/>
      <c r="CZ216" s="48"/>
      <c r="DA216" s="48"/>
      <c r="DB216" s="48"/>
      <c r="DC216" s="48"/>
      <c r="DD216" s="46"/>
      <c r="DE216" s="46"/>
      <c r="DF216" s="48"/>
      <c r="DG216" s="48"/>
      <c r="DH216" s="48"/>
      <c r="DI216" s="49"/>
      <c r="DJ216" s="50"/>
      <c r="DK216" s="50">
        <f t="shared" si="553"/>
        <v>0</v>
      </c>
    </row>
    <row r="217" spans="1:115" s="37" customFormat="1" hidden="1">
      <c r="A217" s="24"/>
      <c r="X217" s="74"/>
      <c r="AB217" s="75"/>
      <c r="AD217" s="78"/>
      <c r="AE217" s="78"/>
      <c r="AG217" s="78"/>
      <c r="AH217" s="80"/>
      <c r="AJ217" s="81"/>
      <c r="AL217" s="85"/>
      <c r="AM217" s="85"/>
      <c r="AO217" s="78"/>
      <c r="AR217" s="81"/>
      <c r="AW217" s="78"/>
      <c r="AZ217" s="81"/>
      <c r="BB217" s="78"/>
      <c r="BD217" s="78"/>
      <c r="BG217" s="81"/>
      <c r="BI217" s="78"/>
      <c r="BK217" s="78"/>
      <c r="BN217" s="81"/>
      <c r="BP217" s="78"/>
      <c r="BQ217" s="78"/>
      <c r="BS217" s="78"/>
      <c r="BV217" s="81"/>
      <c r="BX217" s="78"/>
      <c r="BZ217" s="78"/>
      <c r="CC217" s="45"/>
      <c r="CD217" s="115"/>
      <c r="CE217" s="116"/>
      <c r="CF217" s="116"/>
      <c r="CG217" s="116"/>
      <c r="CH217" s="119"/>
      <c r="CI217" s="119"/>
      <c r="CJ217" s="119"/>
      <c r="CK217" s="46"/>
      <c r="CL217" s="46"/>
      <c r="CM217" s="46"/>
      <c r="CN217" s="46"/>
      <c r="CO217" s="46"/>
      <c r="CP217" s="46"/>
      <c r="CQ217" s="48"/>
      <c r="CR217" s="46"/>
      <c r="CS217" s="46"/>
      <c r="CT217" s="48"/>
      <c r="CU217" s="48"/>
      <c r="CV217" s="48"/>
      <c r="CW217" s="48"/>
      <c r="CX217" s="46"/>
      <c r="CY217" s="46"/>
      <c r="CZ217" s="48"/>
      <c r="DA217" s="48"/>
      <c r="DB217" s="48"/>
      <c r="DC217" s="48"/>
      <c r="DD217" s="46"/>
      <c r="DE217" s="46"/>
      <c r="DF217" s="48"/>
      <c r="DG217" s="48"/>
      <c r="DH217" s="48"/>
      <c r="DI217" s="49"/>
      <c r="DJ217" s="50"/>
      <c r="DK217" s="50">
        <f t="shared" si="553"/>
        <v>0</v>
      </c>
    </row>
    <row r="218" spans="1:115" s="37" customFormat="1" hidden="1">
      <c r="A218" s="24"/>
      <c r="X218" s="74"/>
      <c r="AB218" s="75"/>
      <c r="AD218" s="78"/>
      <c r="AE218" s="78"/>
      <c r="AG218" s="78"/>
      <c r="AH218" s="80"/>
      <c r="AJ218" s="81"/>
      <c r="AL218" s="85"/>
      <c r="AM218" s="85"/>
      <c r="AO218" s="78"/>
      <c r="AR218" s="81"/>
      <c r="AW218" s="78"/>
      <c r="AZ218" s="81"/>
      <c r="BB218" s="78"/>
      <c r="BD218" s="78"/>
      <c r="BG218" s="81"/>
      <c r="BI218" s="78"/>
      <c r="BK218" s="78"/>
      <c r="BN218" s="81"/>
      <c r="BP218" s="78"/>
      <c r="BQ218" s="78"/>
      <c r="BS218" s="78"/>
      <c r="BV218" s="81"/>
      <c r="BX218" s="78"/>
      <c r="BZ218" s="78"/>
      <c r="CC218" s="45"/>
      <c r="CD218" s="115"/>
      <c r="CE218" s="116"/>
      <c r="CF218" s="116"/>
      <c r="CG218" s="116"/>
      <c r="CH218" s="119"/>
      <c r="CI218" s="119"/>
      <c r="CJ218" s="119"/>
      <c r="CK218" s="46"/>
      <c r="CL218" s="46"/>
      <c r="CM218" s="46"/>
      <c r="CN218" s="46"/>
      <c r="CO218" s="46"/>
      <c r="CP218" s="46"/>
      <c r="CQ218" s="48"/>
      <c r="CR218" s="46"/>
      <c r="CS218" s="46"/>
      <c r="CT218" s="48"/>
      <c r="CU218" s="48"/>
      <c r="CV218" s="48"/>
      <c r="CW218" s="48"/>
      <c r="CX218" s="46"/>
      <c r="CY218" s="46"/>
      <c r="CZ218" s="48"/>
      <c r="DA218" s="48"/>
      <c r="DB218" s="48"/>
      <c r="DC218" s="48"/>
      <c r="DD218" s="46"/>
      <c r="DE218" s="46"/>
      <c r="DF218" s="48"/>
      <c r="DG218" s="48"/>
      <c r="DH218" s="48"/>
      <c r="DI218" s="49"/>
      <c r="DJ218" s="50"/>
      <c r="DK218" s="50">
        <f t="shared" si="553"/>
        <v>0</v>
      </c>
    </row>
    <row r="219" spans="1:115" s="37" customFormat="1" ht="14.65" hidden="1" thickBot="1">
      <c r="A219" s="24"/>
      <c r="X219" s="74"/>
      <c r="AB219" s="75"/>
      <c r="AD219" s="78"/>
      <c r="AE219" s="78"/>
      <c r="AG219" s="78"/>
      <c r="AH219" s="80"/>
      <c r="AJ219" s="81"/>
      <c r="AL219" s="85"/>
      <c r="AM219" s="85"/>
      <c r="AO219" s="78"/>
      <c r="AR219" s="81"/>
      <c r="AW219" s="78"/>
      <c r="AZ219" s="81"/>
      <c r="BB219" s="78"/>
      <c r="BD219" s="78"/>
      <c r="BG219" s="81"/>
      <c r="BI219" s="78"/>
      <c r="BK219" s="78"/>
      <c r="BN219" s="81"/>
      <c r="BP219" s="78"/>
      <c r="BQ219" s="78"/>
      <c r="BS219" s="78"/>
      <c r="BV219" s="81"/>
      <c r="BX219" s="78"/>
      <c r="BZ219" s="78"/>
      <c r="CC219" s="45"/>
      <c r="CD219" s="36"/>
      <c r="CE219" s="46"/>
      <c r="CF219" s="46"/>
      <c r="CG219" s="46"/>
      <c r="CH219" s="47"/>
      <c r="CI219" s="47"/>
      <c r="CJ219" s="47"/>
      <c r="CK219" s="46"/>
      <c r="CL219" s="46"/>
      <c r="CM219" s="46"/>
      <c r="CN219" s="46"/>
      <c r="CO219" s="46"/>
      <c r="CP219" s="46"/>
      <c r="CQ219" s="48"/>
      <c r="CR219" s="46"/>
      <c r="CS219" s="46"/>
      <c r="CT219" s="48"/>
      <c r="CU219" s="48"/>
      <c r="CV219" s="48"/>
      <c r="CW219" s="48"/>
      <c r="CX219" s="46"/>
      <c r="CY219" s="46"/>
      <c r="CZ219" s="48"/>
      <c r="DA219" s="48"/>
      <c r="DB219" s="48"/>
      <c r="DC219" s="48"/>
      <c r="DD219" s="46"/>
      <c r="DE219" s="46"/>
      <c r="DF219" s="48"/>
      <c r="DG219" s="48"/>
      <c r="DH219" s="48"/>
      <c r="DI219" s="49"/>
      <c r="DJ219" s="50"/>
      <c r="DK219" s="50">
        <f t="shared" si="553"/>
        <v>0</v>
      </c>
    </row>
    <row r="220" spans="1:115" s="37" customFormat="1" ht="27" hidden="1" customHeight="1">
      <c r="A220" s="24"/>
      <c r="X220" s="74"/>
      <c r="AB220" s="75"/>
      <c r="AD220" s="78"/>
      <c r="AE220" s="78"/>
      <c r="AG220" s="78"/>
      <c r="AH220" s="80"/>
      <c r="AJ220" s="81"/>
      <c r="AL220" s="85"/>
      <c r="AM220" s="85"/>
      <c r="AO220" s="78"/>
      <c r="AR220" s="81"/>
      <c r="AW220" s="78"/>
      <c r="AZ220" s="81"/>
      <c r="BB220" s="78"/>
      <c r="BD220" s="78"/>
      <c r="BG220" s="81"/>
      <c r="BI220" s="78"/>
      <c r="BK220" s="78"/>
      <c r="BN220" s="81"/>
      <c r="BP220" s="78"/>
      <c r="BQ220" s="78"/>
      <c r="BS220" s="78"/>
      <c r="BV220" s="81"/>
      <c r="BX220" s="78"/>
      <c r="BZ220" s="78"/>
      <c r="CC220" s="45"/>
      <c r="CD220" s="549" t="s">
        <v>392</v>
      </c>
      <c r="CE220" s="92"/>
      <c r="CF220" s="549" t="s">
        <v>393</v>
      </c>
      <c r="CG220" s="92"/>
      <c r="CH220" s="549" t="s">
        <v>283</v>
      </c>
      <c r="CI220" s="549" t="s">
        <v>283</v>
      </c>
      <c r="CJ220" s="549" t="s">
        <v>284</v>
      </c>
      <c r="CK220" s="549" t="s">
        <v>393</v>
      </c>
      <c r="CL220" s="92"/>
      <c r="CM220" s="549" t="s">
        <v>283</v>
      </c>
      <c r="CN220" s="549" t="s">
        <v>283</v>
      </c>
      <c r="CO220" s="549" t="s">
        <v>284</v>
      </c>
      <c r="CP220" s="549" t="s">
        <v>393</v>
      </c>
      <c r="CQ220" s="92"/>
      <c r="CR220" s="549" t="s">
        <v>283</v>
      </c>
      <c r="CS220" s="549" t="s">
        <v>283</v>
      </c>
      <c r="CT220" s="549" t="s">
        <v>284</v>
      </c>
      <c r="CU220" s="48"/>
      <c r="CV220" s="48"/>
      <c r="CW220" s="48"/>
      <c r="CX220" s="46"/>
      <c r="CY220" s="46"/>
      <c r="CZ220" s="48"/>
      <c r="DA220" s="48"/>
      <c r="DB220" s="48"/>
      <c r="DC220" s="48"/>
      <c r="DD220" s="46"/>
      <c r="DE220" s="46"/>
      <c r="DF220" s="48"/>
      <c r="DG220" s="48"/>
      <c r="DH220" s="48"/>
      <c r="DI220" s="49"/>
      <c r="DJ220" s="50"/>
      <c r="DK220" s="50" t="str">
        <f t="shared" si="553"/>
        <v>Incertidumbre (+/- %)</v>
      </c>
    </row>
    <row r="221" spans="1:115" s="37" customFormat="1" ht="34.5" hidden="1" customHeight="1" thickBot="1">
      <c r="A221" s="24"/>
      <c r="X221" s="74"/>
      <c r="AB221" s="75"/>
      <c r="AD221" s="78"/>
      <c r="AE221" s="78"/>
      <c r="AG221" s="78"/>
      <c r="AH221" s="80"/>
      <c r="AJ221" s="81"/>
      <c r="AL221" s="85"/>
      <c r="AM221" s="85"/>
      <c r="AO221" s="78"/>
      <c r="AR221" s="81"/>
      <c r="AW221" s="78"/>
      <c r="AZ221" s="81"/>
      <c r="BB221" s="78"/>
      <c r="BD221" s="78"/>
      <c r="BG221" s="81"/>
      <c r="BI221" s="78"/>
      <c r="BK221" s="78"/>
      <c r="BN221" s="81"/>
      <c r="BP221" s="78"/>
      <c r="BQ221" s="78"/>
      <c r="BS221" s="78"/>
      <c r="BV221" s="81"/>
      <c r="BX221" s="78"/>
      <c r="BZ221" s="78"/>
      <c r="CC221" s="45"/>
      <c r="CD221" s="550"/>
      <c r="CE221" s="94" t="s">
        <v>290</v>
      </c>
      <c r="CF221" s="550"/>
      <c r="CG221" s="94" t="s">
        <v>291</v>
      </c>
      <c r="CH221" s="550"/>
      <c r="CI221" s="550"/>
      <c r="CJ221" s="550"/>
      <c r="CK221" s="550"/>
      <c r="CL221" s="94" t="s">
        <v>291</v>
      </c>
      <c r="CM221" s="550"/>
      <c r="CN221" s="550"/>
      <c r="CO221" s="550"/>
      <c r="CP221" s="550"/>
      <c r="CQ221" s="94" t="s">
        <v>291</v>
      </c>
      <c r="CR221" s="550"/>
      <c r="CS221" s="550"/>
      <c r="CT221" s="550"/>
      <c r="CU221" s="48"/>
      <c r="CV221" s="48"/>
      <c r="CW221" s="48"/>
      <c r="CX221" s="46"/>
      <c r="CY221" s="46"/>
      <c r="CZ221" s="48"/>
      <c r="DA221" s="48"/>
      <c r="DB221" s="48"/>
      <c r="DC221" s="48"/>
      <c r="DD221" s="46"/>
      <c r="DE221" s="46"/>
      <c r="DF221" s="48"/>
      <c r="DG221" s="48"/>
      <c r="DH221" s="48"/>
      <c r="DI221" s="49"/>
      <c r="DJ221" s="50"/>
      <c r="DK221" s="50">
        <f t="shared" si="553"/>
        <v>0</v>
      </c>
    </row>
    <row r="222" spans="1:115" s="37" customFormat="1" ht="16.149999999999999" hidden="1" thickBot="1">
      <c r="A222" s="24"/>
      <c r="X222" s="74"/>
      <c r="AB222" s="75"/>
      <c r="AD222" s="78"/>
      <c r="AE222" s="78"/>
      <c r="AG222" s="78"/>
      <c r="AH222" s="80"/>
      <c r="AJ222" s="81"/>
      <c r="AL222" s="85"/>
      <c r="AM222" s="85"/>
      <c r="AO222" s="78"/>
      <c r="AR222" s="81"/>
      <c r="AW222" s="78"/>
      <c r="AZ222" s="81"/>
      <c r="BB222" s="78"/>
      <c r="BD222" s="78"/>
      <c r="BG222" s="81"/>
      <c r="BI222" s="78"/>
      <c r="BK222" s="78"/>
      <c r="BN222" s="81"/>
      <c r="BP222" s="78"/>
      <c r="BQ222" s="78"/>
      <c r="BR222" s="38">
        <f>(10+0.9)*(0.67)</f>
        <v>7.3030000000000008</v>
      </c>
      <c r="BS222" s="38">
        <f>25*(0.67)</f>
        <v>16.75</v>
      </c>
      <c r="BV222" s="81"/>
      <c r="BX222" s="78">
        <f>1.2*0.657</f>
        <v>0.78839999999999999</v>
      </c>
      <c r="BY222" s="38">
        <f>(10+0.9)*(0.67)</f>
        <v>7.3030000000000008</v>
      </c>
      <c r="BZ222" s="38">
        <f>25*(0.67)</f>
        <v>16.75</v>
      </c>
      <c r="CA222" s="38">
        <f>(18+2.5)*(0.67)</f>
        <v>13.735000000000001</v>
      </c>
      <c r="CB222" s="38">
        <f>(25+4)*(0.67)</f>
        <v>19.43</v>
      </c>
      <c r="CC222" s="117" t="s">
        <v>394</v>
      </c>
      <c r="CD222" s="118" t="s">
        <v>395</v>
      </c>
      <c r="CE222" s="99" t="s">
        <v>306</v>
      </c>
      <c r="CF222" s="103">
        <f>(25+4)*0.67</f>
        <v>19.43</v>
      </c>
      <c r="CG222" s="99" t="s">
        <v>396</v>
      </c>
      <c r="CH222" s="105">
        <v>0.5</v>
      </c>
      <c r="CI222" s="105">
        <v>0.5</v>
      </c>
      <c r="CJ222" s="104" t="s">
        <v>397</v>
      </c>
      <c r="CK222" s="103">
        <f>12.3*1.84</f>
        <v>22.632000000000001</v>
      </c>
      <c r="CL222" s="99" t="s">
        <v>398</v>
      </c>
      <c r="CM222" s="105">
        <v>0.5</v>
      </c>
      <c r="CN222" s="105">
        <v>1</v>
      </c>
      <c r="CO222" s="104" t="s">
        <v>397</v>
      </c>
      <c r="CP222" s="103"/>
      <c r="CQ222" s="99" t="s">
        <v>399</v>
      </c>
      <c r="CR222" s="105">
        <v>0.5</v>
      </c>
      <c r="CS222" s="105">
        <v>1</v>
      </c>
      <c r="CT222" s="104" t="s">
        <v>397</v>
      </c>
      <c r="CU222" s="48"/>
      <c r="CV222" s="48"/>
      <c r="CW222" s="48"/>
      <c r="CX222" s="46"/>
      <c r="CY222" s="46"/>
      <c r="CZ222" s="48"/>
      <c r="DA222" s="48"/>
      <c r="DB222" s="48"/>
      <c r="DC222" s="48"/>
      <c r="DD222" s="46"/>
      <c r="DE222" s="46"/>
      <c r="DF222" s="48"/>
      <c r="DG222" s="48"/>
      <c r="DH222" s="48"/>
      <c r="DI222" s="49"/>
      <c r="DJ222" s="50">
        <v>0.05</v>
      </c>
      <c r="DK222" s="50">
        <f t="shared" si="553"/>
        <v>0.5</v>
      </c>
    </row>
    <row r="223" spans="1:115" s="37" customFormat="1" ht="16.149999999999999" hidden="1" thickBot="1">
      <c r="A223" s="24"/>
      <c r="X223" s="74"/>
      <c r="AB223" s="75"/>
      <c r="AD223" s="78"/>
      <c r="AE223" s="78"/>
      <c r="AG223" s="78"/>
      <c r="AH223" s="80"/>
      <c r="AJ223" s="81"/>
      <c r="AL223" s="85"/>
      <c r="AM223" s="85"/>
      <c r="AO223" s="78"/>
      <c r="AR223" s="81"/>
      <c r="AW223" s="78"/>
      <c r="AZ223" s="81"/>
      <c r="BB223" s="78"/>
      <c r="BD223" s="78"/>
      <c r="BG223" s="81"/>
      <c r="BI223" s="78"/>
      <c r="BK223" s="78"/>
      <c r="BN223" s="81"/>
      <c r="BP223" s="78"/>
      <c r="BQ223" s="78"/>
      <c r="BR223" s="38">
        <f>(0.31+0)*(0.67)</f>
        <v>0.20770000000000002</v>
      </c>
      <c r="BS223" s="38">
        <f>25*(0.67)</f>
        <v>16.75</v>
      </c>
      <c r="BV223" s="81"/>
      <c r="BX223" s="78"/>
      <c r="BY223" s="38">
        <f>(0.31+0)*(0.67)</f>
        <v>0.20770000000000002</v>
      </c>
      <c r="BZ223" s="38">
        <f>25*(0.67)</f>
        <v>16.75</v>
      </c>
      <c r="CA223" s="38">
        <f>(1.2+0.1)*(0.67)</f>
        <v>0.87100000000000011</v>
      </c>
      <c r="CB223" s="38">
        <f>(2+0.2)*(0.67)</f>
        <v>1.4740000000000002</v>
      </c>
      <c r="CC223" s="117" t="s">
        <v>394</v>
      </c>
      <c r="CD223" s="118" t="s">
        <v>400</v>
      </c>
      <c r="CE223" s="99" t="s">
        <v>306</v>
      </c>
      <c r="CF223" s="103">
        <f>CB223</f>
        <v>1.4740000000000002</v>
      </c>
      <c r="CG223" s="99" t="s">
        <v>396</v>
      </c>
      <c r="CH223" s="105">
        <v>0.5</v>
      </c>
      <c r="CI223" s="105">
        <v>0.5</v>
      </c>
      <c r="CJ223" s="104" t="s">
        <v>397</v>
      </c>
      <c r="CK223" s="103">
        <f>0.94*1.84</f>
        <v>1.7296</v>
      </c>
      <c r="CL223" s="99" t="s">
        <v>398</v>
      </c>
      <c r="CM223" s="105">
        <v>0.5</v>
      </c>
      <c r="CN223" s="105">
        <v>1</v>
      </c>
      <c r="CO223" s="104" t="s">
        <v>397</v>
      </c>
      <c r="CP223" s="103"/>
      <c r="CQ223" s="99" t="s">
        <v>399</v>
      </c>
      <c r="CR223" s="105">
        <v>0.5</v>
      </c>
      <c r="CS223" s="105">
        <v>1</v>
      </c>
      <c r="CT223" s="104" t="s">
        <v>397</v>
      </c>
      <c r="CU223" s="48"/>
      <c r="CV223" s="48"/>
      <c r="CW223" s="48"/>
      <c r="CX223" s="46"/>
      <c r="CY223" s="46"/>
      <c r="CZ223" s="48"/>
      <c r="DA223" s="48"/>
      <c r="DB223" s="48"/>
      <c r="DC223" s="48"/>
      <c r="DD223" s="46"/>
      <c r="DE223" s="46"/>
      <c r="DF223" s="48"/>
      <c r="DG223" s="48"/>
      <c r="DH223" s="48"/>
      <c r="DI223" s="49"/>
      <c r="DJ223" s="50">
        <v>0.05</v>
      </c>
      <c r="DK223" s="50">
        <f t="shared" ref="DK223:DK230" si="555">CI223</f>
        <v>0.5</v>
      </c>
    </row>
    <row r="224" spans="1:115" s="37" customFormat="1" ht="21" hidden="1" customHeight="1" thickBot="1">
      <c r="A224" s="24"/>
      <c r="X224" s="74"/>
      <c r="AB224" s="75"/>
      <c r="AD224" s="78"/>
      <c r="AE224" s="78"/>
      <c r="AG224" s="78"/>
      <c r="AH224" s="80"/>
      <c r="AJ224" s="81"/>
      <c r="AL224" s="85"/>
      <c r="AM224" s="85"/>
      <c r="AO224" s="78"/>
      <c r="AR224" s="81"/>
      <c r="AW224" s="78"/>
      <c r="AZ224" s="81"/>
      <c r="BB224" s="78"/>
      <c r="BD224" s="78"/>
      <c r="BG224" s="81"/>
      <c r="BI224" s="78"/>
      <c r="BK224" s="78"/>
      <c r="BN224" s="81"/>
      <c r="BP224" s="78"/>
      <c r="BQ224" s="78"/>
      <c r="BR224" s="38"/>
      <c r="BS224" s="38"/>
      <c r="BV224" s="81"/>
      <c r="BX224" s="78"/>
      <c r="BY224" s="38"/>
      <c r="BZ224" s="38"/>
      <c r="CA224" s="38"/>
      <c r="CB224" s="38"/>
      <c r="CC224" s="117"/>
      <c r="CD224" s="118" t="s">
        <v>401</v>
      </c>
      <c r="CE224" s="99" t="s">
        <v>402</v>
      </c>
      <c r="CF224" s="103">
        <f>2.91/6.29</f>
        <v>0.46263910969793326</v>
      </c>
      <c r="CG224" s="99" t="s">
        <v>403</v>
      </c>
      <c r="CH224" s="105">
        <v>0.3</v>
      </c>
      <c r="CI224" s="105">
        <v>0.3</v>
      </c>
      <c r="CJ224" s="104" t="s">
        <v>397</v>
      </c>
      <c r="CK224" s="103">
        <f>44.99/6.29</f>
        <v>7.1526232114467412</v>
      </c>
      <c r="CL224" s="99" t="s">
        <v>404</v>
      </c>
      <c r="CM224" s="105">
        <v>0.3</v>
      </c>
      <c r="CN224" s="105">
        <v>0.3</v>
      </c>
      <c r="CO224" s="104" t="s">
        <v>397</v>
      </c>
      <c r="CP224" s="103">
        <f>0.00067/6.29</f>
        <v>1.0651828298887123E-4</v>
      </c>
      <c r="CQ224" s="99" t="s">
        <v>405</v>
      </c>
      <c r="CR224" s="105">
        <v>0.1</v>
      </c>
      <c r="CS224" s="105">
        <v>10</v>
      </c>
      <c r="CT224" s="104" t="s">
        <v>397</v>
      </c>
      <c r="CU224" s="48"/>
      <c r="CV224" s="48"/>
      <c r="CW224" s="48"/>
      <c r="CX224" s="46"/>
      <c r="CY224" s="46"/>
      <c r="CZ224" s="48"/>
      <c r="DA224" s="48"/>
      <c r="DB224" s="48"/>
      <c r="DC224" s="48"/>
      <c r="DD224" s="46"/>
      <c r="DE224" s="46"/>
      <c r="DF224" s="48"/>
      <c r="DG224" s="48"/>
      <c r="DH224" s="48"/>
      <c r="DI224" s="49"/>
      <c r="DJ224" s="50">
        <v>0.05</v>
      </c>
      <c r="DK224" s="50">
        <f t="shared" si="555"/>
        <v>0.3</v>
      </c>
    </row>
    <row r="225" spans="1:115" s="37" customFormat="1" ht="21" hidden="1" customHeight="1" thickBot="1">
      <c r="A225" s="24"/>
      <c r="X225" s="74"/>
      <c r="AB225" s="75"/>
      <c r="AD225" s="78"/>
      <c r="AE225" s="78"/>
      <c r="AG225" s="78"/>
      <c r="AH225" s="80"/>
      <c r="AJ225" s="81"/>
      <c r="AL225" s="85"/>
      <c r="AM225" s="85"/>
      <c r="AO225" s="78"/>
      <c r="AR225" s="81"/>
      <c r="AW225" s="78"/>
      <c r="AZ225" s="81"/>
      <c r="BB225" s="78"/>
      <c r="BD225" s="78"/>
      <c r="BG225" s="81"/>
      <c r="BI225" s="78"/>
      <c r="BK225" s="78"/>
      <c r="BN225" s="81"/>
      <c r="BP225" s="78"/>
      <c r="BQ225" s="78"/>
      <c r="BR225" s="38"/>
      <c r="BS225" s="38"/>
      <c r="BV225" s="81"/>
      <c r="BX225" s="78"/>
      <c r="BY225" s="38"/>
      <c r="BZ225" s="38"/>
      <c r="CA225" s="38"/>
      <c r="CB225" s="38"/>
      <c r="CC225" s="117"/>
      <c r="CD225" s="118" t="s">
        <v>406</v>
      </c>
      <c r="CE225" s="99" t="s">
        <v>402</v>
      </c>
      <c r="CF225" s="103">
        <f>3.43/6.29</f>
        <v>0.54531001589825123</v>
      </c>
      <c r="CG225" s="99" t="s">
        <v>403</v>
      </c>
      <c r="CH225" s="105">
        <v>0.3</v>
      </c>
      <c r="CI225" s="105">
        <v>0.3</v>
      </c>
      <c r="CJ225" s="104" t="s">
        <v>397</v>
      </c>
      <c r="CK225" s="103">
        <f>12.4/6.29</f>
        <v>1.971383147853736</v>
      </c>
      <c r="CL225" s="99" t="s">
        <v>404</v>
      </c>
      <c r="CM225" s="105">
        <v>0.3</v>
      </c>
      <c r="CN225" s="105">
        <v>0.3</v>
      </c>
      <c r="CO225" s="104" t="s">
        <v>397</v>
      </c>
      <c r="CP225" s="103">
        <f>0.00019/6.29</f>
        <v>3.0206677265500797E-5</v>
      </c>
      <c r="CQ225" s="99" t="s">
        <v>405</v>
      </c>
      <c r="CR225" s="105">
        <v>0.1</v>
      </c>
      <c r="CS225" s="105">
        <v>10</v>
      </c>
      <c r="CT225" s="104" t="s">
        <v>397</v>
      </c>
      <c r="CU225" s="48"/>
      <c r="CV225" s="48"/>
      <c r="CW225" s="48"/>
      <c r="CX225" s="46"/>
      <c r="CY225" s="46"/>
      <c r="CZ225" s="48"/>
      <c r="DA225" s="48"/>
      <c r="DB225" s="48"/>
      <c r="DC225" s="48"/>
      <c r="DD225" s="46"/>
      <c r="DE225" s="46"/>
      <c r="DF225" s="48"/>
      <c r="DG225" s="48"/>
      <c r="DH225" s="48"/>
      <c r="DI225" s="49"/>
      <c r="DJ225" s="50">
        <v>0.05</v>
      </c>
      <c r="DK225" s="50">
        <f t="shared" si="555"/>
        <v>0.3</v>
      </c>
    </row>
    <row r="226" spans="1:115" s="37" customFormat="1" ht="16.149999999999999" hidden="1" thickBot="1">
      <c r="A226" s="24"/>
      <c r="X226" s="74"/>
      <c r="AB226" s="75"/>
      <c r="AD226" s="78"/>
      <c r="AE226" s="78"/>
      <c r="AG226" s="78"/>
      <c r="AH226" s="80"/>
      <c r="AJ226" s="81"/>
      <c r="AL226" s="85"/>
      <c r="AM226" s="85"/>
      <c r="AO226" s="78"/>
      <c r="AR226" s="81"/>
      <c r="AW226" s="78"/>
      <c r="AZ226" s="81"/>
      <c r="BB226" s="78"/>
      <c r="BD226" s="78"/>
      <c r="BG226" s="81"/>
      <c r="BI226" s="78"/>
      <c r="BK226" s="78"/>
      <c r="BN226" s="81"/>
      <c r="BP226" s="78"/>
      <c r="BQ226" s="78"/>
      <c r="BR226" s="38"/>
      <c r="BS226" s="38"/>
      <c r="BV226" s="81"/>
      <c r="BX226" s="78"/>
      <c r="BY226" s="38"/>
      <c r="BZ226" s="38"/>
      <c r="CA226" s="38"/>
      <c r="CB226" s="38"/>
      <c r="CC226" s="117"/>
      <c r="CD226" s="118" t="s">
        <v>407</v>
      </c>
      <c r="CE226" s="99" t="s">
        <v>402</v>
      </c>
      <c r="CF226" s="103">
        <f>2.46/6.29</f>
        <v>0.39109697933227344</v>
      </c>
      <c r="CG226" s="99" t="s">
        <v>403</v>
      </c>
      <c r="CH226" s="105">
        <v>0.3</v>
      </c>
      <c r="CI226" s="105">
        <v>0.3</v>
      </c>
      <c r="CJ226" s="104" t="s">
        <v>397</v>
      </c>
      <c r="CK226" s="103">
        <f>4.08/6.29</f>
        <v>0.64864864864864868</v>
      </c>
      <c r="CL226" s="99" t="s">
        <v>404</v>
      </c>
      <c r="CM226" s="105">
        <v>0.3</v>
      </c>
      <c r="CN226" s="105">
        <v>0.3</v>
      </c>
      <c r="CO226" s="104" t="s">
        <v>397</v>
      </c>
      <c r="CP226" s="103">
        <f>0.000016/6.29</f>
        <v>2.5437201907790142E-6</v>
      </c>
      <c r="CQ226" s="99" t="s">
        <v>405</v>
      </c>
      <c r="CR226" s="105">
        <v>0.1</v>
      </c>
      <c r="CS226" s="105">
        <v>10</v>
      </c>
      <c r="CT226" s="104" t="s">
        <v>397</v>
      </c>
      <c r="CU226" s="48"/>
      <c r="CV226" s="48"/>
      <c r="CW226" s="48"/>
      <c r="CX226" s="46"/>
      <c r="CY226" s="46"/>
      <c r="CZ226" s="48"/>
      <c r="DA226" s="48"/>
      <c r="DB226" s="48"/>
      <c r="DC226" s="48"/>
      <c r="DD226" s="46"/>
      <c r="DE226" s="46"/>
      <c r="DF226" s="48"/>
      <c r="DG226" s="48"/>
      <c r="DH226" s="48"/>
      <c r="DI226" s="49"/>
      <c r="DJ226" s="50">
        <v>0.05</v>
      </c>
      <c r="DK226" s="50">
        <f t="shared" ref="DK226:DK227" si="556">CI226</f>
        <v>0.3</v>
      </c>
    </row>
    <row r="227" spans="1:115" s="37" customFormat="1" ht="16.149999999999999" hidden="1" thickBot="1">
      <c r="A227" s="24"/>
      <c r="X227" s="74"/>
      <c r="AB227" s="75"/>
      <c r="AD227" s="78"/>
      <c r="AE227" s="78"/>
      <c r="AG227" s="78"/>
      <c r="AH227" s="80"/>
      <c r="AJ227" s="81"/>
      <c r="AL227" s="85"/>
      <c r="AM227" s="85"/>
      <c r="AO227" s="78"/>
      <c r="AR227" s="81"/>
      <c r="AW227" s="78"/>
      <c r="AZ227" s="81"/>
      <c r="BB227" s="78"/>
      <c r="BD227" s="78"/>
      <c r="BG227" s="81"/>
      <c r="BI227" s="78"/>
      <c r="BK227" s="78"/>
      <c r="BN227" s="81"/>
      <c r="BP227" s="78"/>
      <c r="BQ227" s="78"/>
      <c r="BR227" s="38"/>
      <c r="BS227" s="38"/>
      <c r="BV227" s="81"/>
      <c r="BX227" s="78"/>
      <c r="BY227" s="38"/>
      <c r="BZ227" s="38"/>
      <c r="CA227" s="38"/>
      <c r="CB227" s="38"/>
      <c r="CC227" s="117"/>
      <c r="CD227" s="118" t="s">
        <v>408</v>
      </c>
      <c r="CE227" s="99" t="s">
        <v>409</v>
      </c>
      <c r="CF227" s="103">
        <f>0.0054/6.29</f>
        <v>8.5850556438791734E-4</v>
      </c>
      <c r="CG227" s="99" t="s">
        <v>403</v>
      </c>
      <c r="CH227" s="105">
        <v>1</v>
      </c>
      <c r="CI227" s="105">
        <v>1</v>
      </c>
      <c r="CJ227" s="104" t="s">
        <v>397</v>
      </c>
      <c r="CK227" s="103">
        <f>0.00049/6.29</f>
        <v>7.7901430842607317E-5</v>
      </c>
      <c r="CL227" s="99" t="s">
        <v>404</v>
      </c>
      <c r="CM227" s="105">
        <v>1</v>
      </c>
      <c r="CN227" s="105">
        <v>1</v>
      </c>
      <c r="CO227" s="104" t="s">
        <v>397</v>
      </c>
      <c r="CP227" s="103">
        <v>0</v>
      </c>
      <c r="CQ227" s="99" t="s">
        <v>405</v>
      </c>
      <c r="CR227" s="105">
        <v>0</v>
      </c>
      <c r="CS227" s="105">
        <v>0</v>
      </c>
      <c r="CT227" s="104" t="s">
        <v>397</v>
      </c>
      <c r="CU227" s="48"/>
      <c r="CV227" s="48"/>
      <c r="CW227" s="48"/>
      <c r="CX227" s="46"/>
      <c r="CY227" s="46"/>
      <c r="CZ227" s="48"/>
      <c r="DA227" s="48"/>
      <c r="DB227" s="48"/>
      <c r="DC227" s="48"/>
      <c r="DD227" s="46"/>
      <c r="DE227" s="46"/>
      <c r="DF227" s="48"/>
      <c r="DG227" s="48"/>
      <c r="DH227" s="48"/>
      <c r="DI227" s="49"/>
      <c r="DJ227" s="50">
        <v>0.05</v>
      </c>
      <c r="DK227" s="50">
        <f t="shared" si="556"/>
        <v>1</v>
      </c>
    </row>
    <row r="228" spans="1:115" s="37" customFormat="1" ht="16.149999999999999" hidden="1" thickBot="1">
      <c r="A228" s="24"/>
      <c r="X228" s="74"/>
      <c r="AB228" s="75"/>
      <c r="AD228" s="78"/>
      <c r="AE228" s="78"/>
      <c r="AG228" s="78"/>
      <c r="AH228" s="80"/>
      <c r="AJ228" s="81"/>
      <c r="AL228" s="85"/>
      <c r="AM228" s="85"/>
      <c r="AO228" s="78"/>
      <c r="AR228" s="81"/>
      <c r="AW228" s="78"/>
      <c r="AZ228" s="81"/>
      <c r="BB228" s="78"/>
      <c r="BD228" s="78"/>
      <c r="BG228" s="81"/>
      <c r="BI228" s="78"/>
      <c r="BK228" s="78"/>
      <c r="BN228" s="81"/>
      <c r="BP228" s="78"/>
      <c r="BQ228" s="78"/>
      <c r="BR228" s="38"/>
      <c r="BS228" s="38"/>
      <c r="BV228" s="81"/>
      <c r="BX228" s="78"/>
      <c r="BY228" s="38"/>
      <c r="BZ228" s="38"/>
      <c r="CA228" s="38"/>
      <c r="CB228" s="38"/>
      <c r="CC228" s="117"/>
      <c r="CD228" s="118" t="s">
        <v>410</v>
      </c>
      <c r="CE228" s="99" t="s">
        <v>409</v>
      </c>
      <c r="CF228" s="103">
        <f>0.025/6.29</f>
        <v>3.9745627980922104E-3</v>
      </c>
      <c r="CG228" s="99" t="s">
        <v>403</v>
      </c>
      <c r="CH228" s="105">
        <v>0.5</v>
      </c>
      <c r="CI228" s="105">
        <v>0.5</v>
      </c>
      <c r="CJ228" s="104" t="s">
        <v>397</v>
      </c>
      <c r="CK228" s="103">
        <f>0.0023/6.29</f>
        <v>3.656597774244833E-4</v>
      </c>
      <c r="CL228" s="99" t="s">
        <v>404</v>
      </c>
      <c r="CM228" s="105">
        <v>0.5</v>
      </c>
      <c r="CN228" s="105">
        <v>0.5</v>
      </c>
      <c r="CO228" s="104" t="s">
        <v>397</v>
      </c>
      <c r="CP228" s="103">
        <v>0</v>
      </c>
      <c r="CQ228" s="99" t="s">
        <v>405</v>
      </c>
      <c r="CR228" s="105">
        <v>0</v>
      </c>
      <c r="CS228" s="105">
        <v>0</v>
      </c>
      <c r="CT228" s="104" t="s">
        <v>397</v>
      </c>
      <c r="CU228" s="48"/>
      <c r="CV228" s="48"/>
      <c r="CW228" s="48"/>
      <c r="CX228" s="46"/>
      <c r="CY228" s="46"/>
      <c r="CZ228" s="48"/>
      <c r="DA228" s="48"/>
      <c r="DB228" s="48"/>
      <c r="DC228" s="48"/>
      <c r="DD228" s="46"/>
      <c r="DE228" s="46"/>
      <c r="DF228" s="48"/>
      <c r="DG228" s="48"/>
      <c r="DH228" s="48"/>
      <c r="DI228" s="49"/>
      <c r="DJ228" s="50">
        <v>0.05</v>
      </c>
      <c r="DK228" s="50">
        <f t="shared" ref="DK228:DK229" si="557">CI228</f>
        <v>0.5</v>
      </c>
    </row>
    <row r="229" spans="1:115" s="37" customFormat="1" ht="16.149999999999999" hidden="1" thickBot="1">
      <c r="A229" s="24"/>
      <c r="X229" s="74"/>
      <c r="AB229" s="75"/>
      <c r="AD229" s="78"/>
      <c r="AE229" s="78"/>
      <c r="AG229" s="78"/>
      <c r="AH229" s="80"/>
      <c r="AJ229" s="81"/>
      <c r="AL229" s="85"/>
      <c r="AM229" s="85"/>
      <c r="AO229" s="78"/>
      <c r="AR229" s="81"/>
      <c r="AW229" s="78"/>
      <c r="AZ229" s="81"/>
      <c r="BB229" s="78"/>
      <c r="BD229" s="78"/>
      <c r="BG229" s="81"/>
      <c r="BI229" s="78"/>
      <c r="BK229" s="78"/>
      <c r="BN229" s="81"/>
      <c r="BP229" s="78"/>
      <c r="BQ229" s="78"/>
      <c r="BR229" s="38"/>
      <c r="BS229" s="38"/>
      <c r="BV229" s="81"/>
      <c r="BX229" s="78"/>
      <c r="BY229" s="38"/>
      <c r="BZ229" s="38"/>
      <c r="CA229" s="38"/>
      <c r="CB229" s="38"/>
      <c r="CC229" s="117"/>
      <c r="CD229" s="118" t="s">
        <v>411</v>
      </c>
      <c r="CE229" s="99" t="s">
        <v>412</v>
      </c>
      <c r="CF229" s="103">
        <f>0.002/6.29</f>
        <v>3.1796502384737679E-4</v>
      </c>
      <c r="CG229" s="99" t="s">
        <v>403</v>
      </c>
      <c r="CH229" s="105">
        <v>0.5</v>
      </c>
      <c r="CI229" s="105">
        <v>0.5</v>
      </c>
      <c r="CJ229" s="104" t="s">
        <v>397</v>
      </c>
      <c r="CK229" s="103">
        <v>0</v>
      </c>
      <c r="CL229" s="99" t="s">
        <v>404</v>
      </c>
      <c r="CM229" s="105">
        <v>0</v>
      </c>
      <c r="CN229" s="105">
        <v>0</v>
      </c>
      <c r="CO229" s="104" t="s">
        <v>397</v>
      </c>
      <c r="CP229" s="103">
        <v>0</v>
      </c>
      <c r="CQ229" s="99" t="s">
        <v>405</v>
      </c>
      <c r="CR229" s="105">
        <v>0</v>
      </c>
      <c r="CS229" s="105">
        <v>0</v>
      </c>
      <c r="CT229" s="104" t="s">
        <v>397</v>
      </c>
      <c r="CU229" s="48"/>
      <c r="CV229" s="48"/>
      <c r="CW229" s="48"/>
      <c r="CX229" s="46"/>
      <c r="CY229" s="46"/>
      <c r="CZ229" s="48"/>
      <c r="DA229" s="48"/>
      <c r="DB229" s="48"/>
      <c r="DC229" s="48"/>
      <c r="DD229" s="46"/>
      <c r="DE229" s="46"/>
      <c r="DF229" s="48"/>
      <c r="DG229" s="48"/>
      <c r="DH229" s="48"/>
      <c r="DI229" s="49"/>
      <c r="DJ229" s="50">
        <v>0.05</v>
      </c>
      <c r="DK229" s="50">
        <f t="shared" si="557"/>
        <v>0.5</v>
      </c>
    </row>
    <row r="230" spans="1:115" s="37" customFormat="1" ht="16.149999999999999" hidden="1" thickBot="1">
      <c r="A230" s="24"/>
      <c r="X230" s="74"/>
      <c r="AB230" s="75"/>
      <c r="AD230" s="78"/>
      <c r="AE230" s="78"/>
      <c r="AG230" s="78"/>
      <c r="AH230" s="80"/>
      <c r="AJ230" s="81"/>
      <c r="AL230" s="85"/>
      <c r="AM230" s="85"/>
      <c r="AO230" s="78"/>
      <c r="AR230" s="81"/>
      <c r="AW230" s="78"/>
      <c r="AZ230" s="81"/>
      <c r="BB230" s="78"/>
      <c r="BD230" s="78"/>
      <c r="BG230" s="81"/>
      <c r="BI230" s="78"/>
      <c r="BK230" s="78"/>
      <c r="BN230" s="81"/>
      <c r="BP230" s="78"/>
      <c r="BQ230" s="78"/>
      <c r="BR230" s="38"/>
      <c r="BS230" s="38"/>
      <c r="BV230" s="81"/>
      <c r="BX230" s="78"/>
      <c r="BY230" s="38"/>
      <c r="BZ230" s="38"/>
      <c r="CA230" s="38"/>
      <c r="CB230" s="38"/>
      <c r="CC230" s="117"/>
      <c r="CD230" s="118" t="s">
        <v>413</v>
      </c>
      <c r="CE230" s="99" t="s">
        <v>414</v>
      </c>
      <c r="CF230" s="103">
        <f>0.03/6.29</f>
        <v>4.7694753577106515E-3</v>
      </c>
      <c r="CG230" s="99" t="s">
        <v>403</v>
      </c>
      <c r="CH230" s="105">
        <v>0.5</v>
      </c>
      <c r="CI230" s="105">
        <v>1.3</v>
      </c>
      <c r="CJ230" s="104" t="s">
        <v>397</v>
      </c>
      <c r="CK230" s="103">
        <f>5.85/6.29</f>
        <v>0.93004769475357707</v>
      </c>
      <c r="CL230" s="99" t="s">
        <v>404</v>
      </c>
      <c r="CM230" s="105">
        <v>0.5</v>
      </c>
      <c r="CN230" s="105">
        <v>1.3</v>
      </c>
      <c r="CO230" s="104" t="s">
        <v>397</v>
      </c>
      <c r="CP230" s="103">
        <f>0.0000877/6.29</f>
        <v>1.3942766295707472E-5</v>
      </c>
      <c r="CQ230" s="99" t="s">
        <v>405</v>
      </c>
      <c r="CR230" s="105">
        <v>1</v>
      </c>
      <c r="CS230" s="105">
        <v>1</v>
      </c>
      <c r="CT230" s="104" t="s">
        <v>397</v>
      </c>
      <c r="CU230" s="48"/>
      <c r="CV230" s="48"/>
      <c r="CW230" s="48"/>
      <c r="CX230" s="46"/>
      <c r="CY230" s="46"/>
      <c r="CZ230" s="48"/>
      <c r="DA230" s="48"/>
      <c r="DB230" s="48"/>
      <c r="DC230" s="48"/>
      <c r="DD230" s="46"/>
      <c r="DE230" s="46"/>
      <c r="DF230" s="48"/>
      <c r="DG230" s="48"/>
      <c r="DH230" s="48"/>
      <c r="DI230" s="49"/>
      <c r="DJ230" s="50">
        <v>0.05</v>
      </c>
      <c r="DK230" s="50">
        <f t="shared" si="555"/>
        <v>1.3</v>
      </c>
    </row>
    <row r="231" spans="1:115" s="37" customFormat="1" ht="21" hidden="1" customHeight="1" thickBot="1">
      <c r="A231" s="24"/>
      <c r="X231" s="74"/>
      <c r="AB231" s="75"/>
      <c r="AD231" s="78"/>
      <c r="AE231" s="78"/>
      <c r="AG231" s="78"/>
      <c r="AH231" s="80"/>
      <c r="AJ231" s="81"/>
      <c r="AL231" s="85"/>
      <c r="AM231" s="85"/>
      <c r="AO231" s="78"/>
      <c r="AR231" s="81"/>
      <c r="AW231" s="78"/>
      <c r="AZ231" s="81"/>
      <c r="BB231" s="78"/>
      <c r="BD231" s="78"/>
      <c r="BG231" s="81"/>
      <c r="BI231" s="78"/>
      <c r="BK231" s="78"/>
      <c r="BN231" s="81"/>
      <c r="BP231" s="78"/>
      <c r="BQ231" s="78"/>
      <c r="BR231" s="38"/>
      <c r="BS231" s="38"/>
      <c r="BV231" s="81"/>
      <c r="BX231" s="78"/>
      <c r="BY231" s="38"/>
      <c r="BZ231" s="38"/>
      <c r="CA231" s="38"/>
      <c r="CB231" s="38"/>
      <c r="CC231" s="117"/>
      <c r="CD231" s="118" t="s">
        <v>415</v>
      </c>
      <c r="CE231" s="99" t="s">
        <v>416</v>
      </c>
      <c r="CF231" s="103">
        <f>2.54/1000</f>
        <v>2.5400000000000002E-3</v>
      </c>
      <c r="CG231" s="99" t="s">
        <v>417</v>
      </c>
      <c r="CH231" s="105">
        <v>0.2</v>
      </c>
      <c r="CI231" s="105">
        <v>0.2</v>
      </c>
      <c r="CJ231" s="104" t="s">
        <v>397</v>
      </c>
      <c r="CK231" s="103">
        <f>3.6/1000</f>
        <v>3.5999999999999999E-3</v>
      </c>
      <c r="CL231" s="99" t="s">
        <v>418</v>
      </c>
      <c r="CM231" s="105">
        <v>0.2</v>
      </c>
      <c r="CN231" s="105">
        <v>0.2</v>
      </c>
      <c r="CO231" s="104" t="s">
        <v>397</v>
      </c>
      <c r="CP231" s="103">
        <f>0.000061/1000</f>
        <v>6.1000000000000004E-8</v>
      </c>
      <c r="CQ231" s="99" t="s">
        <v>419</v>
      </c>
      <c r="CR231" s="105">
        <v>0.1</v>
      </c>
      <c r="CS231" s="105">
        <v>10</v>
      </c>
      <c r="CT231" s="104" t="s">
        <v>397</v>
      </c>
      <c r="CU231" s="48"/>
      <c r="CV231" s="48"/>
      <c r="CW231" s="48"/>
      <c r="CX231" s="46"/>
      <c r="CY231" s="46"/>
      <c r="CZ231" s="48"/>
      <c r="DA231" s="48"/>
      <c r="DB231" s="48"/>
      <c r="DC231" s="48"/>
      <c r="DD231" s="46"/>
      <c r="DE231" s="46"/>
      <c r="DF231" s="48"/>
      <c r="DG231" s="48"/>
      <c r="DH231" s="48"/>
      <c r="DI231" s="49"/>
      <c r="DJ231" s="50">
        <v>0.05</v>
      </c>
      <c r="DK231" s="50">
        <f t="shared" ref="DK231:DK240" si="558">CI231</f>
        <v>0.2</v>
      </c>
    </row>
    <row r="232" spans="1:115" s="37" customFormat="1" ht="28.15" hidden="1" thickBot="1">
      <c r="A232" s="24"/>
      <c r="X232" s="74"/>
      <c r="AB232" s="75"/>
      <c r="AD232" s="78"/>
      <c r="AE232" s="78"/>
      <c r="AG232" s="78"/>
      <c r="AH232" s="80"/>
      <c r="AJ232" s="81"/>
      <c r="AL232" s="85"/>
      <c r="AM232" s="85"/>
      <c r="AO232" s="78"/>
      <c r="AR232" s="81"/>
      <c r="AW232" s="78"/>
      <c r="AZ232" s="81"/>
      <c r="BB232" s="78"/>
      <c r="BD232" s="78"/>
      <c r="BG232" s="81"/>
      <c r="BI232" s="78"/>
      <c r="BK232" s="78"/>
      <c r="BN232" s="81"/>
      <c r="BP232" s="78"/>
      <c r="BQ232" s="78"/>
      <c r="BR232" s="38"/>
      <c r="BS232" s="38"/>
      <c r="BV232" s="81"/>
      <c r="BX232" s="78"/>
      <c r="BY232" s="38"/>
      <c r="BZ232" s="38"/>
      <c r="CA232" s="38"/>
      <c r="CB232" s="38"/>
      <c r="CC232" s="117"/>
      <c r="CD232" s="118" t="s">
        <v>420</v>
      </c>
      <c r="CE232" s="99" t="s">
        <v>416</v>
      </c>
      <c r="CF232" s="103">
        <f>4.09/1000</f>
        <v>4.0899999999999999E-3</v>
      </c>
      <c r="CG232" s="99" t="s">
        <v>417</v>
      </c>
      <c r="CH232" s="105">
        <v>0.2</v>
      </c>
      <c r="CI232" s="105">
        <v>0.2</v>
      </c>
      <c r="CJ232" s="104" t="s">
        <v>397</v>
      </c>
      <c r="CK232" s="103">
        <f>1.45/1000</f>
        <v>1.4499999999999999E-3</v>
      </c>
      <c r="CL232" s="99" t="s">
        <v>418</v>
      </c>
      <c r="CM232" s="105">
        <v>0.2</v>
      </c>
      <c r="CN232" s="105">
        <v>0.2</v>
      </c>
      <c r="CO232" s="104" t="s">
        <v>397</v>
      </c>
      <c r="CP232" s="103">
        <f>0.000025/1000</f>
        <v>2.5000000000000002E-8</v>
      </c>
      <c r="CQ232" s="99" t="s">
        <v>419</v>
      </c>
      <c r="CR232" s="105">
        <v>0.1</v>
      </c>
      <c r="CS232" s="105">
        <v>10</v>
      </c>
      <c r="CT232" s="104" t="s">
        <v>397</v>
      </c>
      <c r="CU232" s="48"/>
      <c r="CV232" s="48"/>
      <c r="CW232" s="48"/>
      <c r="CX232" s="46"/>
      <c r="CY232" s="46"/>
      <c r="CZ232" s="48"/>
      <c r="DA232" s="48"/>
      <c r="DB232" s="48"/>
      <c r="DC232" s="48"/>
      <c r="DD232" s="46"/>
      <c r="DE232" s="46"/>
      <c r="DF232" s="48"/>
      <c r="DG232" s="48"/>
      <c r="DH232" s="48"/>
      <c r="DI232" s="49"/>
      <c r="DJ232" s="50">
        <v>0.05</v>
      </c>
      <c r="DK232" s="50">
        <f t="shared" si="558"/>
        <v>0.2</v>
      </c>
    </row>
    <row r="233" spans="1:115" s="37" customFormat="1" ht="16.899999999999999" hidden="1" thickBot="1">
      <c r="A233" s="24"/>
      <c r="X233" s="74"/>
      <c r="AB233" s="75"/>
      <c r="AD233" s="78"/>
      <c r="AE233" s="78"/>
      <c r="AG233" s="78"/>
      <c r="AH233" s="80"/>
      <c r="AJ233" s="81"/>
      <c r="AL233" s="85"/>
      <c r="AM233" s="85"/>
      <c r="AO233" s="78"/>
      <c r="AR233" s="81"/>
      <c r="AW233" s="78"/>
      <c r="AZ233" s="81"/>
      <c r="BB233" s="78"/>
      <c r="BD233" s="78"/>
      <c r="BG233" s="81"/>
      <c r="BI233" s="78"/>
      <c r="BK233" s="78"/>
      <c r="BN233" s="81"/>
      <c r="BP233" s="78"/>
      <c r="BQ233" s="78"/>
      <c r="BR233" s="38"/>
      <c r="BS233" s="38"/>
      <c r="BV233" s="81"/>
      <c r="BX233" s="78"/>
      <c r="BY233" s="38"/>
      <c r="BZ233" s="38"/>
      <c r="CA233" s="38"/>
      <c r="CB233" s="38"/>
      <c r="CC233" s="117"/>
      <c r="CD233" s="118" t="s">
        <v>421</v>
      </c>
      <c r="CE233" s="99" t="s">
        <v>416</v>
      </c>
      <c r="CF233" s="103">
        <f>2.94/1000</f>
        <v>2.9399999999999999E-3</v>
      </c>
      <c r="CG233" s="99" t="s">
        <v>417</v>
      </c>
      <c r="CH233" s="105">
        <v>0.2</v>
      </c>
      <c r="CI233" s="105">
        <v>0.2</v>
      </c>
      <c r="CJ233" s="104" t="s">
        <v>397</v>
      </c>
      <c r="CK233" s="103">
        <f>4.8/1000</f>
        <v>4.7999999999999996E-3</v>
      </c>
      <c r="CL233" s="99" t="s">
        <v>418</v>
      </c>
      <c r="CM233" s="105">
        <v>0.2</v>
      </c>
      <c r="CN233" s="105">
        <v>0.2</v>
      </c>
      <c r="CO233" s="104" t="s">
        <v>397</v>
      </c>
      <c r="CP233" s="103">
        <f>0.000082/1000</f>
        <v>8.2000000000000006E-8</v>
      </c>
      <c r="CQ233" s="99" t="s">
        <v>419</v>
      </c>
      <c r="CR233" s="105">
        <v>0.1</v>
      </c>
      <c r="CS233" s="105">
        <v>10</v>
      </c>
      <c r="CT233" s="104" t="s">
        <v>397</v>
      </c>
      <c r="CU233" s="48"/>
      <c r="CV233" s="48"/>
      <c r="CW233" s="48"/>
      <c r="CX233" s="46"/>
      <c r="CY233" s="46"/>
      <c r="CZ233" s="48"/>
      <c r="DA233" s="48"/>
      <c r="DB233" s="48"/>
      <c r="DC233" s="48"/>
      <c r="DD233" s="46"/>
      <c r="DE233" s="46"/>
      <c r="DF233" s="48"/>
      <c r="DG233" s="48"/>
      <c r="DH233" s="48"/>
      <c r="DI233" s="49"/>
      <c r="DJ233" s="50">
        <v>0.05</v>
      </c>
      <c r="DK233" s="50">
        <f t="shared" si="558"/>
        <v>0.2</v>
      </c>
    </row>
    <row r="234" spans="1:115" s="37" customFormat="1" ht="28.15" hidden="1" thickBot="1">
      <c r="A234" s="24"/>
      <c r="X234" s="74"/>
      <c r="AB234" s="75"/>
      <c r="AD234" s="78"/>
      <c r="AE234" s="78"/>
      <c r="AG234" s="78"/>
      <c r="AH234" s="80"/>
      <c r="AJ234" s="81"/>
      <c r="AL234" s="85"/>
      <c r="AM234" s="85"/>
      <c r="AO234" s="78"/>
      <c r="AR234" s="81"/>
      <c r="AW234" s="78"/>
      <c r="AZ234" s="81"/>
      <c r="BB234" s="78"/>
      <c r="BD234" s="78"/>
      <c r="BG234" s="81"/>
      <c r="BI234" s="78"/>
      <c r="BK234" s="78"/>
      <c r="BN234" s="81"/>
      <c r="BP234" s="78"/>
      <c r="BQ234" s="78"/>
      <c r="BR234" s="38"/>
      <c r="BS234" s="38"/>
      <c r="BV234" s="81"/>
      <c r="BX234" s="78"/>
      <c r="BY234" s="38"/>
      <c r="BZ234" s="38"/>
      <c r="CA234" s="38"/>
      <c r="CB234" s="38"/>
      <c r="CC234" s="117"/>
      <c r="CD234" s="118" t="s">
        <v>422</v>
      </c>
      <c r="CE234" s="99" t="s">
        <v>423</v>
      </c>
      <c r="CF234" s="103">
        <f>1.83/1000</f>
        <v>1.83E-3</v>
      </c>
      <c r="CG234" s="99" t="s">
        <v>417</v>
      </c>
      <c r="CH234" s="105">
        <v>0.1</v>
      </c>
      <c r="CI234" s="105">
        <v>0.1</v>
      </c>
      <c r="CJ234" s="104" t="s">
        <v>397</v>
      </c>
      <c r="CK234" s="103">
        <f>0.12/1000</f>
        <v>1.1999999999999999E-4</v>
      </c>
      <c r="CL234" s="99" t="s">
        <v>418</v>
      </c>
      <c r="CM234" s="105">
        <v>0.1</v>
      </c>
      <c r="CN234" s="105">
        <v>0.1</v>
      </c>
      <c r="CO234" s="104" t="s">
        <v>397</v>
      </c>
      <c r="CP234" s="103">
        <f>0.0000013/1000</f>
        <v>1.3000000000000001E-9</v>
      </c>
      <c r="CQ234" s="99" t="s">
        <v>419</v>
      </c>
      <c r="CR234" s="105">
        <v>0.1</v>
      </c>
      <c r="CS234" s="105">
        <v>10</v>
      </c>
      <c r="CT234" s="104" t="s">
        <v>397</v>
      </c>
      <c r="CU234" s="48"/>
      <c r="CV234" s="48"/>
      <c r="CW234" s="48"/>
      <c r="CX234" s="46"/>
      <c r="CY234" s="46"/>
      <c r="CZ234" s="48"/>
      <c r="DA234" s="48"/>
      <c r="DB234" s="48"/>
      <c r="DC234" s="48"/>
      <c r="DD234" s="46"/>
      <c r="DE234" s="46"/>
      <c r="DF234" s="48"/>
      <c r="DG234" s="48"/>
      <c r="DH234" s="48"/>
      <c r="DI234" s="49"/>
      <c r="DJ234" s="50">
        <v>0.05</v>
      </c>
      <c r="DK234" s="50">
        <f t="shared" si="558"/>
        <v>0.1</v>
      </c>
    </row>
    <row r="235" spans="1:115" s="37" customFormat="1" ht="28.15" hidden="1" thickBot="1">
      <c r="A235" s="24"/>
      <c r="X235" s="74"/>
      <c r="AB235" s="75"/>
      <c r="AD235" s="78"/>
      <c r="AE235" s="78"/>
      <c r="AG235" s="78"/>
      <c r="AH235" s="80"/>
      <c r="AJ235" s="81"/>
      <c r="AL235" s="85"/>
      <c r="AM235" s="85"/>
      <c r="AO235" s="78"/>
      <c r="AR235" s="81"/>
      <c r="AW235" s="78"/>
      <c r="AZ235" s="81"/>
      <c r="BB235" s="78"/>
      <c r="BD235" s="78"/>
      <c r="BG235" s="81"/>
      <c r="BI235" s="78"/>
      <c r="BK235" s="78"/>
      <c r="BN235" s="81"/>
      <c r="BP235" s="78"/>
      <c r="BQ235" s="78"/>
      <c r="BR235" s="38"/>
      <c r="BS235" s="38"/>
      <c r="BV235" s="81"/>
      <c r="BX235" s="78"/>
      <c r="BY235" s="38"/>
      <c r="BZ235" s="38"/>
      <c r="CA235" s="38"/>
      <c r="CB235" s="38"/>
      <c r="CC235" s="117"/>
      <c r="CD235" s="118" t="s">
        <v>424</v>
      </c>
      <c r="CE235" s="99" t="s">
        <v>423</v>
      </c>
      <c r="CF235" s="103">
        <f>0.75/1000</f>
        <v>7.5000000000000002E-4</v>
      </c>
      <c r="CG235" s="99" t="s">
        <v>417</v>
      </c>
      <c r="CH235" s="105">
        <v>0.1</v>
      </c>
      <c r="CI235" s="105">
        <v>0.1</v>
      </c>
      <c r="CJ235" s="104" t="s">
        <v>397</v>
      </c>
      <c r="CK235" s="103">
        <f>9.45/1000</f>
        <v>9.4500000000000001E-3</v>
      </c>
      <c r="CL235" s="99" t="s">
        <v>418</v>
      </c>
      <c r="CM235" s="105">
        <v>0.1</v>
      </c>
      <c r="CN235" s="105">
        <v>0.1</v>
      </c>
      <c r="CO235" s="104" t="s">
        <v>397</v>
      </c>
      <c r="CP235" s="103">
        <f>0.0001/1000</f>
        <v>1.0000000000000001E-7</v>
      </c>
      <c r="CQ235" s="99" t="s">
        <v>419</v>
      </c>
      <c r="CR235" s="105">
        <v>0.1</v>
      </c>
      <c r="CS235" s="105">
        <v>10</v>
      </c>
      <c r="CT235" s="104" t="s">
        <v>397</v>
      </c>
      <c r="CU235" s="48"/>
      <c r="CV235" s="48"/>
      <c r="CW235" s="48"/>
      <c r="CX235" s="46"/>
      <c r="CY235" s="46"/>
      <c r="CZ235" s="48"/>
      <c r="DA235" s="48"/>
      <c r="DB235" s="48"/>
      <c r="DC235" s="48"/>
      <c r="DD235" s="46"/>
      <c r="DE235" s="46"/>
      <c r="DF235" s="48"/>
      <c r="DG235" s="48"/>
      <c r="DH235" s="48"/>
      <c r="DI235" s="49"/>
      <c r="DJ235" s="50">
        <v>0.05</v>
      </c>
      <c r="DK235" s="50">
        <f t="shared" si="558"/>
        <v>0.1</v>
      </c>
    </row>
    <row r="236" spans="1:115" s="37" customFormat="1" ht="28.15" hidden="1" thickBot="1">
      <c r="A236" s="24"/>
      <c r="X236" s="74"/>
      <c r="AB236" s="75"/>
      <c r="AD236" s="78"/>
      <c r="AE236" s="78"/>
      <c r="AG236" s="78"/>
      <c r="AH236" s="80"/>
      <c r="AJ236" s="81"/>
      <c r="AL236" s="85"/>
      <c r="AM236" s="85"/>
      <c r="AO236" s="78"/>
      <c r="AR236" s="81"/>
      <c r="AW236" s="78"/>
      <c r="AZ236" s="81"/>
      <c r="BB236" s="78"/>
      <c r="BD236" s="78"/>
      <c r="BG236" s="81"/>
      <c r="BI236" s="78"/>
      <c r="BK236" s="78"/>
      <c r="BN236" s="81"/>
      <c r="BP236" s="78"/>
      <c r="BQ236" s="78"/>
      <c r="BR236" s="38"/>
      <c r="BS236" s="38"/>
      <c r="BV236" s="81"/>
      <c r="BX236" s="78"/>
      <c r="BY236" s="38"/>
      <c r="BZ236" s="38"/>
      <c r="CA236" s="38"/>
      <c r="CB236" s="38"/>
      <c r="CC236" s="117"/>
      <c r="CD236" s="118" t="s">
        <v>425</v>
      </c>
      <c r="CE236" s="99" t="s">
        <v>426</v>
      </c>
      <c r="CF236" s="103">
        <f>3.36/1000</f>
        <v>3.3599999999999997E-3</v>
      </c>
      <c r="CG236" s="99" t="s">
        <v>417</v>
      </c>
      <c r="CH236" s="105">
        <v>0.2</v>
      </c>
      <c r="CI236" s="105">
        <v>0.3</v>
      </c>
      <c r="CJ236" s="104" t="s">
        <v>397</v>
      </c>
      <c r="CK236" s="103">
        <f>0.23/1000</f>
        <v>2.3000000000000001E-4</v>
      </c>
      <c r="CL236" s="99" t="s">
        <v>418</v>
      </c>
      <c r="CM236" s="105">
        <v>0.2</v>
      </c>
      <c r="CN236" s="105">
        <v>0.3</v>
      </c>
      <c r="CO236" s="104" t="s">
        <v>397</v>
      </c>
      <c r="CP236" s="103">
        <v>0</v>
      </c>
      <c r="CQ236" s="99" t="s">
        <v>419</v>
      </c>
      <c r="CR236" s="105">
        <v>0</v>
      </c>
      <c r="CS236" s="105">
        <v>0</v>
      </c>
      <c r="CT236" s="104" t="s">
        <v>397</v>
      </c>
      <c r="CU236" s="48"/>
      <c r="CV236" s="48"/>
      <c r="CW236" s="48"/>
      <c r="CX236" s="46"/>
      <c r="CY236" s="46"/>
      <c r="CZ236" s="48"/>
      <c r="DA236" s="48"/>
      <c r="DB236" s="48"/>
      <c r="DC236" s="48"/>
      <c r="DD236" s="46"/>
      <c r="DE236" s="46"/>
      <c r="DF236" s="48"/>
      <c r="DG236" s="48"/>
      <c r="DH236" s="48"/>
      <c r="DI236" s="49"/>
      <c r="DJ236" s="50">
        <v>0.05</v>
      </c>
      <c r="DK236" s="50">
        <f t="shared" si="558"/>
        <v>0.3</v>
      </c>
    </row>
    <row r="237" spans="1:115" s="37" customFormat="1" ht="28.15" hidden="1" thickBot="1">
      <c r="A237" s="24"/>
      <c r="X237" s="74"/>
      <c r="AB237" s="75"/>
      <c r="AD237" s="78"/>
      <c r="AE237" s="78"/>
      <c r="AG237" s="78"/>
      <c r="AH237" s="80"/>
      <c r="AJ237" s="81"/>
      <c r="AL237" s="85"/>
      <c r="AM237" s="85"/>
      <c r="AO237" s="78"/>
      <c r="AR237" s="81"/>
      <c r="AW237" s="78"/>
      <c r="AZ237" s="81"/>
      <c r="BB237" s="78"/>
      <c r="BD237" s="78"/>
      <c r="BG237" s="81"/>
      <c r="BI237" s="78"/>
      <c r="BK237" s="78"/>
      <c r="BN237" s="81"/>
      <c r="BP237" s="78"/>
      <c r="BQ237" s="78"/>
      <c r="BR237" s="38"/>
      <c r="BS237" s="38"/>
      <c r="BV237" s="81"/>
      <c r="BX237" s="78"/>
      <c r="BY237" s="38"/>
      <c r="BZ237" s="38"/>
      <c r="CA237" s="38"/>
      <c r="CB237" s="38"/>
      <c r="CC237" s="117"/>
      <c r="CD237" s="118" t="s">
        <v>427</v>
      </c>
      <c r="CE237" s="99" t="s">
        <v>426</v>
      </c>
      <c r="CF237" s="103">
        <f>1.29/1000</f>
        <v>1.2900000000000001E-3</v>
      </c>
      <c r="CG237" s="99" t="s">
        <v>417</v>
      </c>
      <c r="CH237" s="105">
        <v>0.2</v>
      </c>
      <c r="CI237" s="105">
        <v>0.3</v>
      </c>
      <c r="CJ237" s="104" t="s">
        <v>397</v>
      </c>
      <c r="CK237" s="103">
        <f>0.15/1000</f>
        <v>1.4999999999999999E-4</v>
      </c>
      <c r="CL237" s="99" t="s">
        <v>418</v>
      </c>
      <c r="CM237" s="105">
        <v>0.2</v>
      </c>
      <c r="CN237" s="105">
        <v>0.3</v>
      </c>
      <c r="CO237" s="104" t="s">
        <v>397</v>
      </c>
      <c r="CP237" s="103">
        <v>0</v>
      </c>
      <c r="CQ237" s="99" t="s">
        <v>419</v>
      </c>
      <c r="CR237" s="105">
        <v>0</v>
      </c>
      <c r="CS237" s="105">
        <v>0</v>
      </c>
      <c r="CT237" s="104" t="s">
        <v>397</v>
      </c>
      <c r="CU237" s="48"/>
      <c r="CV237" s="48"/>
      <c r="CW237" s="48"/>
      <c r="CX237" s="46"/>
      <c r="CY237" s="46"/>
      <c r="CZ237" s="48"/>
      <c r="DA237" s="48"/>
      <c r="DB237" s="48"/>
      <c r="DC237" s="48"/>
      <c r="DD237" s="46"/>
      <c r="DE237" s="46"/>
      <c r="DF237" s="48"/>
      <c r="DG237" s="48"/>
      <c r="DH237" s="48"/>
      <c r="DI237" s="49"/>
      <c r="DJ237" s="50">
        <v>0.05</v>
      </c>
      <c r="DK237" s="50">
        <f t="shared" si="558"/>
        <v>0.3</v>
      </c>
    </row>
    <row r="238" spans="1:115" s="37" customFormat="1" ht="28.15" hidden="1" thickBot="1">
      <c r="A238" s="24"/>
      <c r="X238" s="74"/>
      <c r="AB238" s="75"/>
      <c r="AD238" s="78"/>
      <c r="AE238" s="78"/>
      <c r="AG238" s="78"/>
      <c r="AH238" s="80"/>
      <c r="AJ238" s="81"/>
      <c r="AL238" s="85"/>
      <c r="AM238" s="85"/>
      <c r="AO238" s="78"/>
      <c r="AR238" s="81"/>
      <c r="AW238" s="78"/>
      <c r="AZ238" s="81"/>
      <c r="BB238" s="78"/>
      <c r="BD238" s="78"/>
      <c r="BG238" s="81"/>
      <c r="BI238" s="78"/>
      <c r="BK238" s="78"/>
      <c r="BN238" s="81"/>
      <c r="BP238" s="78"/>
      <c r="BQ238" s="78"/>
      <c r="BR238" s="38"/>
      <c r="BS238" s="38"/>
      <c r="BV238" s="81"/>
      <c r="BX238" s="78"/>
      <c r="BY238" s="38"/>
      <c r="BZ238" s="38"/>
      <c r="CA238" s="38"/>
      <c r="CB238" s="38"/>
      <c r="CC238" s="117"/>
      <c r="CD238" s="118" t="s">
        <v>428</v>
      </c>
      <c r="CE238" s="99" t="s">
        <v>429</v>
      </c>
      <c r="CF238" s="103">
        <f>0.67/1000</f>
        <v>6.7000000000000002E-4</v>
      </c>
      <c r="CG238" s="99" t="s">
        <v>417</v>
      </c>
      <c r="CH238" s="105">
        <v>0.2</v>
      </c>
      <c r="CI238" s="105">
        <v>0.3</v>
      </c>
      <c r="CJ238" s="104" t="s">
        <v>397</v>
      </c>
      <c r="CK238" s="103">
        <f>0.06/1000</f>
        <v>5.9999999999999995E-5</v>
      </c>
      <c r="CL238" s="99" t="s">
        <v>418</v>
      </c>
      <c r="CM238" s="105">
        <v>0.2</v>
      </c>
      <c r="CN238" s="105">
        <v>0.3</v>
      </c>
      <c r="CO238" s="104" t="s">
        <v>397</v>
      </c>
      <c r="CP238" s="103">
        <v>0</v>
      </c>
      <c r="CQ238" s="99" t="s">
        <v>419</v>
      </c>
      <c r="CR238" s="105">
        <v>0</v>
      </c>
      <c r="CS238" s="105">
        <v>0</v>
      </c>
      <c r="CT238" s="104" t="s">
        <v>397</v>
      </c>
      <c r="CU238" s="48"/>
      <c r="CV238" s="48"/>
      <c r="CW238" s="48"/>
      <c r="CX238" s="46"/>
      <c r="CY238" s="46"/>
      <c r="CZ238" s="48"/>
      <c r="DA238" s="48"/>
      <c r="DB238" s="48"/>
      <c r="DC238" s="48"/>
      <c r="DD238" s="46"/>
      <c r="DE238" s="46"/>
      <c r="DF238" s="48"/>
      <c r="DG238" s="48"/>
      <c r="DH238" s="48"/>
      <c r="DI238" s="49"/>
      <c r="DJ238" s="50">
        <v>0.05</v>
      </c>
      <c r="DK238" s="50">
        <f t="shared" ref="DK238:DK239" si="559">CI238</f>
        <v>0.3</v>
      </c>
    </row>
    <row r="239" spans="1:115" s="37" customFormat="1" ht="28.15" hidden="1" thickBot="1">
      <c r="A239" s="24"/>
      <c r="X239" s="74"/>
      <c r="AB239" s="75"/>
      <c r="AD239" s="78"/>
      <c r="AE239" s="78"/>
      <c r="AG239" s="78"/>
      <c r="AH239" s="80"/>
      <c r="AJ239" s="81"/>
      <c r="AL239" s="85"/>
      <c r="AM239" s="85"/>
      <c r="AO239" s="78"/>
      <c r="AR239" s="81"/>
      <c r="AW239" s="78"/>
      <c r="AZ239" s="81"/>
      <c r="BB239" s="78"/>
      <c r="BD239" s="78"/>
      <c r="BG239" s="81"/>
      <c r="BI239" s="78"/>
      <c r="BK239" s="78"/>
      <c r="BN239" s="81"/>
      <c r="BP239" s="78"/>
      <c r="BQ239" s="78"/>
      <c r="BR239" s="38"/>
      <c r="BS239" s="38"/>
      <c r="BV239" s="81"/>
      <c r="BX239" s="78"/>
      <c r="BY239" s="38"/>
      <c r="BZ239" s="38"/>
      <c r="CA239" s="38"/>
      <c r="CB239" s="38"/>
      <c r="CC239" s="117"/>
      <c r="CD239" s="118" t="s">
        <v>430</v>
      </c>
      <c r="CE239" s="99" t="s">
        <v>429</v>
      </c>
      <c r="CF239" s="103">
        <f>0.29/1000</f>
        <v>2.9E-4</v>
      </c>
      <c r="CG239" s="99" t="s">
        <v>417</v>
      </c>
      <c r="CH239" s="105">
        <v>0.2</v>
      </c>
      <c r="CI239" s="105">
        <v>0.3</v>
      </c>
      <c r="CJ239" s="104" t="s">
        <v>397</v>
      </c>
      <c r="CK239" s="103">
        <f>0.04/1000</f>
        <v>4.0000000000000003E-5</v>
      </c>
      <c r="CL239" s="99" t="s">
        <v>418</v>
      </c>
      <c r="CM239" s="105">
        <v>0.2</v>
      </c>
      <c r="CN239" s="105">
        <v>0.3</v>
      </c>
      <c r="CO239" s="104" t="s">
        <v>397</v>
      </c>
      <c r="CP239" s="103">
        <v>0</v>
      </c>
      <c r="CQ239" s="99" t="s">
        <v>419</v>
      </c>
      <c r="CR239" s="105">
        <v>0</v>
      </c>
      <c r="CS239" s="105">
        <v>0</v>
      </c>
      <c r="CT239" s="104" t="s">
        <v>397</v>
      </c>
      <c r="CU239" s="48"/>
      <c r="CV239" s="48"/>
      <c r="CW239" s="48"/>
      <c r="CX239" s="46"/>
      <c r="CY239" s="46"/>
      <c r="CZ239" s="48"/>
      <c r="DA239" s="48"/>
      <c r="DB239" s="48"/>
      <c r="DC239" s="48"/>
      <c r="DD239" s="46"/>
      <c r="DE239" s="46"/>
      <c r="DF239" s="48"/>
      <c r="DG239" s="48"/>
      <c r="DH239" s="48"/>
      <c r="DI239" s="49"/>
      <c r="DJ239" s="50">
        <v>0.05</v>
      </c>
      <c r="DK239" s="50">
        <f t="shared" si="559"/>
        <v>0.3</v>
      </c>
    </row>
    <row r="240" spans="1:115" s="37" customFormat="1" ht="28.15" hidden="1" thickBot="1">
      <c r="A240" s="24"/>
      <c r="X240" s="74"/>
      <c r="AB240" s="75"/>
      <c r="AD240" s="78"/>
      <c r="AE240" s="78"/>
      <c r="AG240" s="78"/>
      <c r="AH240" s="80"/>
      <c r="AJ240" s="81"/>
      <c r="AL240" s="85"/>
      <c r="AM240" s="85"/>
      <c r="AO240" s="78"/>
      <c r="AR240" s="81"/>
      <c r="AW240" s="78"/>
      <c r="AZ240" s="81"/>
      <c r="BB240" s="78"/>
      <c r="BD240" s="78"/>
      <c r="BG240" s="81"/>
      <c r="BI240" s="78"/>
      <c r="BK240" s="78"/>
      <c r="BN240" s="81"/>
      <c r="BP240" s="78"/>
      <c r="BQ240" s="78"/>
      <c r="BR240" s="38"/>
      <c r="BS240" s="38"/>
      <c r="BV240" s="81"/>
      <c r="BX240" s="78"/>
      <c r="BY240" s="38"/>
      <c r="BZ240" s="38"/>
      <c r="CA240" s="38"/>
      <c r="CB240" s="38"/>
      <c r="CC240" s="117"/>
      <c r="CD240" s="118" t="s">
        <v>431</v>
      </c>
      <c r="CE240" s="99" t="s">
        <v>432</v>
      </c>
      <c r="CF240" s="103">
        <f>2.92/1000</f>
        <v>2.9199999999999999E-3</v>
      </c>
      <c r="CG240" s="99" t="s">
        <v>417</v>
      </c>
      <c r="CH240" s="105">
        <v>0.2</v>
      </c>
      <c r="CI240" s="105">
        <v>1.2</v>
      </c>
      <c r="CJ240" s="104" t="s">
        <v>397</v>
      </c>
      <c r="CK240" s="103">
        <f>0.09/1000</f>
        <v>8.9999999999999992E-5</v>
      </c>
      <c r="CL240" s="99" t="s">
        <v>418</v>
      </c>
      <c r="CM240" s="105">
        <v>0.2</v>
      </c>
      <c r="CN240" s="105">
        <v>1.2</v>
      </c>
      <c r="CO240" s="104" t="s">
        <v>397</v>
      </c>
      <c r="CP240" s="103">
        <v>0</v>
      </c>
      <c r="CQ240" s="99" t="s">
        <v>419</v>
      </c>
      <c r="CR240" s="105">
        <v>0</v>
      </c>
      <c r="CS240" s="105">
        <v>0</v>
      </c>
      <c r="CT240" s="104" t="s">
        <v>397</v>
      </c>
      <c r="CU240" s="48"/>
      <c r="CV240" s="48"/>
      <c r="CW240" s="48"/>
      <c r="CX240" s="46"/>
      <c r="CY240" s="46"/>
      <c r="CZ240" s="48"/>
      <c r="DA240" s="48"/>
      <c r="DB240" s="48"/>
      <c r="DC240" s="48"/>
      <c r="DD240" s="46"/>
      <c r="DE240" s="46"/>
      <c r="DF240" s="48"/>
      <c r="DG240" s="48"/>
      <c r="DH240" s="48"/>
      <c r="DI240" s="49"/>
      <c r="DJ240" s="50">
        <v>0.05</v>
      </c>
      <c r="DK240" s="50">
        <f t="shared" si="558"/>
        <v>1.2</v>
      </c>
    </row>
    <row r="241" spans="1:115" s="37" customFormat="1" ht="28.15" hidden="1" thickBot="1">
      <c r="A241" s="24"/>
      <c r="X241" s="74"/>
      <c r="AB241" s="75"/>
      <c r="AD241" s="78"/>
      <c r="AE241" s="78"/>
      <c r="AG241" s="78"/>
      <c r="AH241" s="80"/>
      <c r="AJ241" s="81"/>
      <c r="AL241" s="85"/>
      <c r="AM241" s="85"/>
      <c r="AO241" s="78"/>
      <c r="AR241" s="81"/>
      <c r="AW241" s="78"/>
      <c r="AZ241" s="81"/>
      <c r="BB241" s="78"/>
      <c r="BD241" s="78"/>
      <c r="BG241" s="81"/>
      <c r="BI241" s="78"/>
      <c r="BK241" s="78"/>
      <c r="BN241" s="81"/>
      <c r="BP241" s="78"/>
      <c r="BQ241" s="78"/>
      <c r="BR241" s="38"/>
      <c r="BS241" s="38"/>
      <c r="BV241" s="81"/>
      <c r="BX241" s="78"/>
      <c r="BY241" s="38"/>
      <c r="BZ241" s="38"/>
      <c r="CA241" s="38"/>
      <c r="CB241" s="38"/>
      <c r="CC241" s="117"/>
      <c r="CD241" s="118" t="s">
        <v>433</v>
      </c>
      <c r="CE241" s="99" t="s">
        <v>432</v>
      </c>
      <c r="CF241" s="103">
        <f>0.62/1000</f>
        <v>6.2E-4</v>
      </c>
      <c r="CG241" s="99" t="s">
        <v>417</v>
      </c>
      <c r="CH241" s="105">
        <v>0.2</v>
      </c>
      <c r="CI241" s="105">
        <v>1.2</v>
      </c>
      <c r="CJ241" s="104" t="s">
        <v>397</v>
      </c>
      <c r="CK241" s="103">
        <f>0.02/1000</f>
        <v>2.0000000000000002E-5</v>
      </c>
      <c r="CL241" s="99" t="s">
        <v>418</v>
      </c>
      <c r="CM241" s="105">
        <v>0.2</v>
      </c>
      <c r="CN241" s="105">
        <v>1.2</v>
      </c>
      <c r="CO241" s="104" t="s">
        <v>397</v>
      </c>
      <c r="CP241" s="103">
        <v>0</v>
      </c>
      <c r="CQ241" s="99" t="s">
        <v>419</v>
      </c>
      <c r="CR241" s="105">
        <v>0</v>
      </c>
      <c r="CS241" s="105">
        <v>0</v>
      </c>
      <c r="CT241" s="104" t="s">
        <v>397</v>
      </c>
      <c r="CU241" s="48"/>
      <c r="CV241" s="48"/>
      <c r="CW241" s="48"/>
      <c r="CX241" s="46"/>
      <c r="CY241" s="46"/>
      <c r="CZ241" s="48"/>
      <c r="DA241" s="48"/>
      <c r="DB241" s="48"/>
      <c r="DC241" s="48"/>
      <c r="DD241" s="46"/>
      <c r="DE241" s="46"/>
      <c r="DF241" s="48"/>
      <c r="DG241" s="48"/>
      <c r="DH241" s="48"/>
      <c r="DI241" s="49"/>
      <c r="DJ241" s="50">
        <v>0.05</v>
      </c>
      <c r="DK241" s="50">
        <f t="shared" si="553"/>
        <v>1.2</v>
      </c>
    </row>
    <row r="242" spans="1:115" s="37" customFormat="1" ht="30.4" hidden="1" thickBot="1">
      <c r="A242" s="24"/>
      <c r="X242" s="74"/>
      <c r="AB242" s="75"/>
      <c r="AD242" s="78"/>
      <c r="AE242" s="78"/>
      <c r="AG242" s="78"/>
      <c r="AH242" s="80"/>
      <c r="AJ242" s="81"/>
      <c r="AL242" s="85"/>
      <c r="AM242" s="85"/>
      <c r="AO242" s="78"/>
      <c r="AR242" s="81"/>
      <c r="AW242" s="78"/>
      <c r="AZ242" s="81"/>
      <c r="BB242" s="78"/>
      <c r="BD242" s="78"/>
      <c r="BG242" s="81"/>
      <c r="BI242" s="78"/>
      <c r="BK242" s="78"/>
      <c r="BN242" s="81"/>
      <c r="BP242" s="78"/>
      <c r="BQ242" s="78"/>
      <c r="BR242" s="38"/>
      <c r="BS242" s="38"/>
      <c r="BV242" s="81"/>
      <c r="BX242" s="78"/>
      <c r="BY242" s="38"/>
      <c r="BZ242" s="38"/>
      <c r="CA242" s="38"/>
      <c r="CB242" s="38"/>
      <c r="CC242" s="117"/>
      <c r="CD242" s="118" t="s">
        <v>434</v>
      </c>
      <c r="CE242" s="118" t="s">
        <v>435</v>
      </c>
      <c r="CF242" s="103">
        <v>1.27</v>
      </c>
      <c r="CG242" s="99" t="s">
        <v>436</v>
      </c>
      <c r="CH242" s="105">
        <v>0.4</v>
      </c>
      <c r="CI242" s="105">
        <v>0.7</v>
      </c>
      <c r="CJ242" s="104" t="s">
        <v>437</v>
      </c>
      <c r="CK242" s="46"/>
      <c r="CL242" s="36"/>
      <c r="CM242" s="36"/>
      <c r="CN242" s="46"/>
      <c r="CO242" s="46"/>
      <c r="CP242" s="46"/>
      <c r="CQ242" s="48"/>
      <c r="CR242" s="46"/>
      <c r="CS242" s="103"/>
      <c r="CT242" s="99"/>
      <c r="CU242" s="48"/>
      <c r="CV242" s="48"/>
      <c r="CW242" s="48"/>
      <c r="CX242" s="46"/>
      <c r="CY242" s="46"/>
      <c r="CZ242" s="48"/>
      <c r="DA242" s="48"/>
      <c r="DB242" s="48"/>
      <c r="DC242" s="48"/>
      <c r="DD242" s="46"/>
      <c r="DE242" s="46"/>
      <c r="DF242" s="48"/>
      <c r="DG242" s="48"/>
      <c r="DH242" s="48"/>
      <c r="DI242" s="49"/>
      <c r="DJ242" s="50"/>
      <c r="DK242" s="50"/>
    </row>
    <row r="243" spans="1:115" s="37" customFormat="1" ht="16.149999999999999" hidden="1" thickBot="1">
      <c r="A243" s="24"/>
      <c r="X243" s="74"/>
      <c r="AB243" s="75"/>
      <c r="AD243" s="78"/>
      <c r="AE243" s="78"/>
      <c r="AG243" s="78"/>
      <c r="AH243" s="80"/>
      <c r="AJ243" s="81"/>
      <c r="AL243" s="85"/>
      <c r="AM243" s="85"/>
      <c r="AO243" s="78"/>
      <c r="AR243" s="81"/>
      <c r="AW243" s="78"/>
      <c r="AZ243" s="81"/>
      <c r="BB243" s="78"/>
      <c r="BD243" s="78"/>
      <c r="BG243" s="81"/>
      <c r="BI243" s="78"/>
      <c r="BK243" s="78"/>
      <c r="BN243" s="81"/>
      <c r="BP243" s="78"/>
      <c r="BQ243" s="78"/>
      <c r="BS243" s="78"/>
      <c r="BV243" s="81"/>
      <c r="BX243" s="78"/>
      <c r="BZ243" s="78"/>
      <c r="CC243" s="117" t="s">
        <v>438</v>
      </c>
      <c r="CD243" s="118" t="s">
        <v>439</v>
      </c>
      <c r="CE243" s="118" t="s">
        <v>440</v>
      </c>
      <c r="CF243" s="103">
        <v>141.1</v>
      </c>
      <c r="CG243" s="99" t="s">
        <v>441</v>
      </c>
      <c r="CH243" s="105">
        <v>0.9</v>
      </c>
      <c r="CI243" s="105">
        <v>1.06</v>
      </c>
      <c r="CJ243" s="104" t="s">
        <v>437</v>
      </c>
      <c r="CK243" s="46"/>
      <c r="CL243" s="36"/>
      <c r="CM243" s="36"/>
      <c r="CN243" s="46"/>
      <c r="CO243" s="46"/>
      <c r="CP243" s="46"/>
      <c r="CQ243" s="48"/>
      <c r="CR243" s="46"/>
      <c r="CS243" s="103">
        <v>20.94</v>
      </c>
      <c r="CT243" s="99" t="s">
        <v>442</v>
      </c>
      <c r="CU243" s="48"/>
      <c r="CV243" s="48"/>
      <c r="CW243" s="48"/>
      <c r="CX243" s="46"/>
      <c r="CY243" s="46"/>
      <c r="CZ243" s="48"/>
      <c r="DA243" s="48"/>
      <c r="DB243" s="48"/>
      <c r="DC243" s="48"/>
      <c r="DD243" s="46"/>
      <c r="DE243" s="46"/>
      <c r="DF243" s="48"/>
      <c r="DG243" s="48"/>
      <c r="DH243" s="48"/>
      <c r="DI243" s="49"/>
      <c r="DJ243" s="50">
        <v>0.9</v>
      </c>
      <c r="DK243" s="50">
        <f t="shared" ref="DK243" si="560">CI243</f>
        <v>1.06</v>
      </c>
    </row>
    <row r="244" spans="1:115" s="37" customFormat="1" ht="28.15" hidden="1" thickBot="1">
      <c r="A244" s="24"/>
      <c r="X244" s="74"/>
      <c r="AB244" s="75"/>
      <c r="AD244" s="78"/>
      <c r="AE244" s="78"/>
      <c r="AG244" s="78"/>
      <c r="AH244" s="80"/>
      <c r="AJ244" s="81"/>
      <c r="AL244" s="85"/>
      <c r="AM244" s="85"/>
      <c r="AO244" s="78"/>
      <c r="AR244" s="81"/>
      <c r="AW244" s="78"/>
      <c r="AZ244" s="81"/>
      <c r="BB244" s="78"/>
      <c r="BD244" s="78"/>
      <c r="BG244" s="81"/>
      <c r="BI244" s="78"/>
      <c r="BK244" s="78"/>
      <c r="BN244" s="81"/>
      <c r="BP244" s="78"/>
      <c r="BQ244" s="78"/>
      <c r="BS244" s="78"/>
      <c r="BV244" s="81"/>
      <c r="BX244" s="78"/>
      <c r="BZ244" s="78"/>
      <c r="CC244" s="117" t="s">
        <v>438</v>
      </c>
      <c r="CD244" s="118" t="s">
        <v>443</v>
      </c>
      <c r="CE244" s="118" t="s">
        <v>440</v>
      </c>
      <c r="CF244" s="103">
        <v>30</v>
      </c>
      <c r="CG244" s="99" t="s">
        <v>441</v>
      </c>
      <c r="CH244" s="105">
        <v>0.9</v>
      </c>
      <c r="CI244" s="105">
        <v>1.06</v>
      </c>
      <c r="CJ244" s="104" t="s">
        <v>437</v>
      </c>
      <c r="CK244" s="46"/>
      <c r="CL244" s="36"/>
      <c r="CM244" s="36"/>
      <c r="CN244" s="46"/>
      <c r="CO244" s="46"/>
      <c r="CP244" s="46"/>
      <c r="CQ244" s="48"/>
      <c r="CR244" s="46"/>
      <c r="CS244" s="103">
        <v>20.94</v>
      </c>
      <c r="CT244" s="99" t="s">
        <v>442</v>
      </c>
      <c r="CU244" s="48"/>
      <c r="CV244" s="48"/>
      <c r="CW244" s="48"/>
      <c r="CX244" s="46"/>
      <c r="CY244" s="46"/>
      <c r="CZ244" s="48"/>
      <c r="DA244" s="48"/>
      <c r="DB244" s="48"/>
      <c r="DC244" s="48"/>
      <c r="DD244" s="46"/>
      <c r="DE244" s="46"/>
      <c r="DF244" s="48"/>
      <c r="DG244" s="48"/>
      <c r="DH244" s="48"/>
      <c r="DI244" s="49"/>
      <c r="DJ244" s="50">
        <v>0.9</v>
      </c>
      <c r="DK244" s="50">
        <f t="shared" ref="DK244:DK245" si="561">CI244</f>
        <v>1.06</v>
      </c>
    </row>
    <row r="245" spans="1:115" s="37" customFormat="1" ht="28.15" hidden="1" thickBot="1">
      <c r="A245" s="24"/>
      <c r="X245" s="74"/>
      <c r="AB245" s="75"/>
      <c r="AD245" s="78"/>
      <c r="AE245" s="78"/>
      <c r="AG245" s="78"/>
      <c r="AH245" s="80"/>
      <c r="AJ245" s="81"/>
      <c r="AL245" s="85"/>
      <c r="AM245" s="85"/>
      <c r="AO245" s="78"/>
      <c r="AR245" s="81"/>
      <c r="AW245" s="78"/>
      <c r="AZ245" s="81"/>
      <c r="BB245" s="78"/>
      <c r="BD245" s="78"/>
      <c r="BG245" s="81"/>
      <c r="BI245" s="78"/>
      <c r="BK245" s="78"/>
      <c r="BN245" s="81"/>
      <c r="BP245" s="78"/>
      <c r="BQ245" s="78"/>
      <c r="BS245" s="78"/>
      <c r="BV245" s="81"/>
      <c r="BX245" s="78"/>
      <c r="BZ245" s="78"/>
      <c r="CC245" s="117" t="s">
        <v>438</v>
      </c>
      <c r="CD245" s="118" t="s">
        <v>444</v>
      </c>
      <c r="CE245" s="118" t="s">
        <v>440</v>
      </c>
      <c r="CF245" s="103">
        <v>183</v>
      </c>
      <c r="CG245" s="99" t="s">
        <v>441</v>
      </c>
      <c r="CH245" s="105">
        <v>0.9</v>
      </c>
      <c r="CI245" s="105">
        <v>1.06</v>
      </c>
      <c r="CJ245" s="104" t="s">
        <v>437</v>
      </c>
      <c r="CK245" s="46"/>
      <c r="CL245" s="36"/>
      <c r="CM245" s="36"/>
      <c r="CN245" s="46"/>
      <c r="CO245" s="46"/>
      <c r="CP245" s="46"/>
      <c r="CQ245" s="48"/>
      <c r="CR245" s="46"/>
      <c r="CS245" s="103">
        <v>20.94</v>
      </c>
      <c r="CT245" s="99" t="s">
        <v>442</v>
      </c>
      <c r="CU245" s="48"/>
      <c r="CV245" s="48"/>
      <c r="CW245" s="48"/>
      <c r="CX245" s="46"/>
      <c r="CY245" s="46"/>
      <c r="CZ245" s="48"/>
      <c r="DA245" s="48"/>
      <c r="DB245" s="48"/>
      <c r="DC245" s="48"/>
      <c r="DD245" s="46"/>
      <c r="DE245" s="46"/>
      <c r="DF245" s="48"/>
      <c r="DG245" s="48"/>
      <c r="DH245" s="48"/>
      <c r="DI245" s="49"/>
      <c r="DJ245" s="50">
        <v>0.9</v>
      </c>
      <c r="DK245" s="50">
        <f t="shared" si="561"/>
        <v>1.06</v>
      </c>
    </row>
    <row r="246" spans="1:115" s="37" customFormat="1" ht="16.149999999999999" hidden="1" thickBot="1">
      <c r="A246" s="24"/>
      <c r="X246" s="74"/>
      <c r="AB246" s="75"/>
      <c r="AD246" s="78"/>
      <c r="AE246" s="78"/>
      <c r="AG246" s="78"/>
      <c r="AH246" s="80"/>
      <c r="AJ246" s="81"/>
      <c r="AL246" s="85"/>
      <c r="AM246" s="85"/>
      <c r="AO246" s="78"/>
      <c r="AR246" s="81"/>
      <c r="AW246" s="78"/>
      <c r="AZ246" s="81"/>
      <c r="BB246" s="78"/>
      <c r="BD246" s="78"/>
      <c r="BG246" s="81"/>
      <c r="BI246" s="78"/>
      <c r="BK246" s="78"/>
      <c r="BN246" s="81"/>
      <c r="BP246" s="78"/>
      <c r="BQ246" s="78"/>
      <c r="BS246" s="78"/>
      <c r="BV246" s="81"/>
      <c r="BX246" s="78"/>
      <c r="BZ246" s="78"/>
      <c r="CC246" s="117" t="s">
        <v>438</v>
      </c>
      <c r="CD246" s="118" t="s">
        <v>445</v>
      </c>
      <c r="CE246" s="118" t="s">
        <v>440</v>
      </c>
      <c r="CF246" s="103">
        <v>416</v>
      </c>
      <c r="CG246" s="99" t="s">
        <v>441</v>
      </c>
      <c r="CH246" s="105">
        <v>0.9</v>
      </c>
      <c r="CI246" s="105">
        <v>1.06</v>
      </c>
      <c r="CJ246" s="104" t="s">
        <v>437</v>
      </c>
      <c r="CK246" s="46"/>
      <c r="CL246" s="36"/>
      <c r="CM246" s="36"/>
      <c r="CN246" s="46"/>
      <c r="CO246" s="46"/>
      <c r="CP246" s="46"/>
      <c r="CQ246" s="48"/>
      <c r="CR246" s="46"/>
      <c r="CS246" s="103">
        <v>20.94</v>
      </c>
      <c r="CT246" s="99" t="s">
        <v>442</v>
      </c>
      <c r="CU246" s="48"/>
      <c r="CV246" s="48"/>
      <c r="CW246" s="48"/>
      <c r="CX246" s="46"/>
      <c r="CY246" s="46"/>
      <c r="CZ246" s="48"/>
      <c r="DA246" s="48"/>
      <c r="DB246" s="48"/>
      <c r="DC246" s="48"/>
      <c r="DD246" s="46"/>
      <c r="DE246" s="46"/>
      <c r="DF246" s="48"/>
      <c r="DG246" s="48"/>
      <c r="DH246" s="48"/>
      <c r="DI246" s="49"/>
      <c r="DJ246" s="50">
        <v>0.9</v>
      </c>
      <c r="DK246" s="50">
        <f t="shared" si="553"/>
        <v>1.06</v>
      </c>
    </row>
    <row r="247" spans="1:115" s="37" customFormat="1" ht="16.149999999999999" hidden="1" thickBot="1">
      <c r="A247" s="24"/>
      <c r="X247" s="74"/>
      <c r="AB247" s="75"/>
      <c r="AD247" s="78"/>
      <c r="AE247" s="78"/>
      <c r="AG247" s="78"/>
      <c r="AH247" s="80"/>
      <c r="AJ247" s="81"/>
      <c r="AL247" s="85"/>
      <c r="AM247" s="85"/>
      <c r="AO247" s="78"/>
      <c r="AR247" s="81"/>
      <c r="AW247" s="78"/>
      <c r="AZ247" s="81"/>
      <c r="BB247" s="78"/>
      <c r="BD247" s="78"/>
      <c r="BG247" s="81"/>
      <c r="BI247" s="78"/>
      <c r="BK247" s="78"/>
      <c r="BN247" s="81"/>
      <c r="BP247" s="78"/>
      <c r="BQ247" s="78"/>
      <c r="BS247" s="78"/>
      <c r="BV247" s="81"/>
      <c r="BX247" s="78"/>
      <c r="BZ247" s="78"/>
      <c r="CB247" s="38"/>
      <c r="CC247" s="117" t="s">
        <v>265</v>
      </c>
      <c r="CD247" s="118" t="s">
        <v>446</v>
      </c>
      <c r="CE247" s="118" t="s">
        <v>306</v>
      </c>
      <c r="CF247" s="103">
        <v>8.8999999999999996E-2</v>
      </c>
      <c r="CG247" s="99" t="s">
        <v>396</v>
      </c>
      <c r="CH247" s="105">
        <v>4</v>
      </c>
      <c r="CI247" s="105">
        <v>4</v>
      </c>
      <c r="CJ247" s="104" t="s">
        <v>397</v>
      </c>
      <c r="CK247" s="103">
        <v>510</v>
      </c>
      <c r="CL247" s="99" t="s">
        <v>398</v>
      </c>
      <c r="CM247" s="105">
        <v>0.1</v>
      </c>
      <c r="CN247" s="105">
        <v>0.1</v>
      </c>
      <c r="CO247" s="104" t="s">
        <v>397</v>
      </c>
      <c r="CP247" s="103">
        <v>0</v>
      </c>
      <c r="CQ247" s="99" t="s">
        <v>399</v>
      </c>
      <c r="CR247" s="105">
        <v>0</v>
      </c>
      <c r="CS247" s="105">
        <v>0</v>
      </c>
      <c r="CT247" s="104" t="s">
        <v>397</v>
      </c>
      <c r="CU247" s="48"/>
      <c r="CV247" s="48"/>
      <c r="CW247" s="48"/>
      <c r="CX247" s="46"/>
      <c r="CY247" s="46"/>
      <c r="CZ247" s="48"/>
      <c r="DA247" s="48"/>
      <c r="DB247" s="48"/>
      <c r="DC247" s="48"/>
      <c r="DD247" s="46"/>
      <c r="DE247" s="46"/>
      <c r="DF247" s="48"/>
      <c r="DG247" s="48"/>
      <c r="DH247" s="48"/>
      <c r="DI247" s="49"/>
      <c r="DJ247" s="50">
        <v>0.02</v>
      </c>
      <c r="DK247" s="50">
        <f t="shared" si="553"/>
        <v>4</v>
      </c>
    </row>
    <row r="248" spans="1:115" s="37" customFormat="1" ht="16.149999999999999" hidden="1" thickBot="1">
      <c r="A248" s="24"/>
      <c r="X248" s="74"/>
      <c r="AB248" s="75"/>
      <c r="AD248" s="78"/>
      <c r="AE248" s="78"/>
      <c r="AG248" s="78"/>
      <c r="AH248" s="80"/>
      <c r="AJ248" s="81"/>
      <c r="AL248" s="85"/>
      <c r="AM248" s="85"/>
      <c r="AO248" s="78"/>
      <c r="AR248" s="81"/>
      <c r="AW248" s="78"/>
      <c r="AZ248" s="81"/>
      <c r="BB248" s="78"/>
      <c r="BD248" s="78"/>
      <c r="BG248" s="81"/>
      <c r="BI248" s="78"/>
      <c r="BK248" s="78"/>
      <c r="BN248" s="81"/>
      <c r="BP248" s="78"/>
      <c r="BQ248" s="78"/>
      <c r="BS248" s="78"/>
      <c r="BV248" s="81"/>
      <c r="BX248" s="78"/>
      <c r="BZ248" s="78"/>
      <c r="CC248" s="117" t="s">
        <v>265</v>
      </c>
      <c r="CD248" s="118" t="s">
        <v>447</v>
      </c>
      <c r="CE248" s="118" t="s">
        <v>306</v>
      </c>
      <c r="CF248" s="103">
        <v>40.299999999999997</v>
      </c>
      <c r="CG248" s="99" t="s">
        <v>396</v>
      </c>
      <c r="CH248" s="105">
        <v>0.68</v>
      </c>
      <c r="CI248" s="105">
        <v>1.21</v>
      </c>
      <c r="CJ248" s="104" t="s">
        <v>397</v>
      </c>
      <c r="CK248" s="103">
        <v>1570</v>
      </c>
      <c r="CL248" s="99" t="s">
        <v>398</v>
      </c>
      <c r="CM248" s="105">
        <v>0.38</v>
      </c>
      <c r="CN248" s="105">
        <v>0.6</v>
      </c>
      <c r="CO248" s="104" t="s">
        <v>397</v>
      </c>
      <c r="CP248" s="103">
        <v>0.08</v>
      </c>
      <c r="CQ248" s="99" t="s">
        <v>399</v>
      </c>
      <c r="CR248" s="105">
        <v>0.5</v>
      </c>
      <c r="CS248" s="105">
        <v>0.75</v>
      </c>
      <c r="CT248" s="104" t="s">
        <v>397</v>
      </c>
      <c r="CU248" s="48"/>
      <c r="CV248" s="48"/>
      <c r="CW248" s="48"/>
      <c r="CX248" s="46"/>
      <c r="CY248" s="46"/>
      <c r="CZ248" s="48"/>
      <c r="DA248" s="48"/>
      <c r="DB248" s="48"/>
      <c r="DC248" s="48"/>
      <c r="DD248" s="46"/>
      <c r="DE248" s="46"/>
      <c r="DF248" s="48"/>
      <c r="DG248" s="48"/>
      <c r="DH248" s="48"/>
      <c r="DI248" s="49"/>
      <c r="DJ248" s="50">
        <v>0.02</v>
      </c>
      <c r="DK248" s="50">
        <f t="shared" si="553"/>
        <v>1.21</v>
      </c>
    </row>
    <row r="249" spans="1:115" s="37" customFormat="1" ht="14.65" hidden="1" thickBot="1">
      <c r="A249" s="24"/>
      <c r="X249" s="74"/>
      <c r="AB249" s="75"/>
      <c r="AD249" s="78"/>
      <c r="AE249" s="78"/>
      <c r="AG249" s="78"/>
      <c r="AH249" s="80"/>
      <c r="AJ249" s="81"/>
      <c r="AL249" s="85"/>
      <c r="AM249" s="85"/>
      <c r="AO249" s="78"/>
      <c r="AR249" s="81"/>
      <c r="AW249" s="78"/>
      <c r="AZ249" s="81"/>
      <c r="BB249" s="78"/>
      <c r="BD249" s="78"/>
      <c r="BG249" s="81"/>
      <c r="BI249" s="78"/>
      <c r="BK249" s="78"/>
      <c r="BN249" s="81"/>
      <c r="BP249" s="78"/>
      <c r="BQ249" s="78"/>
      <c r="BS249" s="78"/>
      <c r="BV249" s="81"/>
      <c r="BX249" s="78"/>
      <c r="BZ249" s="78"/>
      <c r="CC249" s="117"/>
      <c r="CD249" s="118" t="s">
        <v>448</v>
      </c>
      <c r="CE249" s="99" t="s">
        <v>449</v>
      </c>
      <c r="CF249" s="103">
        <v>520</v>
      </c>
      <c r="CG249" s="99" t="s">
        <v>450</v>
      </c>
      <c r="CH249" s="105">
        <v>1E-3</v>
      </c>
      <c r="CI249" s="105">
        <v>1E-3</v>
      </c>
      <c r="CJ249" s="104" t="s">
        <v>385</v>
      </c>
      <c r="CK249" s="46"/>
      <c r="CL249" s="36"/>
      <c r="CM249" s="36"/>
      <c r="CN249" s="46"/>
      <c r="CO249" s="46"/>
      <c r="CP249" s="46"/>
      <c r="CQ249" s="48"/>
      <c r="CR249" s="46"/>
      <c r="CS249" s="103"/>
      <c r="CT249" s="99"/>
      <c r="CU249" s="48"/>
      <c r="CV249" s="48"/>
      <c r="CW249" s="48"/>
      <c r="CX249" s="46"/>
      <c r="CY249" s="46"/>
      <c r="CZ249" s="48"/>
      <c r="DA249" s="48"/>
      <c r="DB249" s="48"/>
      <c r="DC249" s="48"/>
      <c r="DD249" s="46"/>
      <c r="DE249" s="46"/>
      <c r="DF249" s="48"/>
      <c r="DG249" s="48"/>
      <c r="DH249" s="48"/>
      <c r="DI249" s="49"/>
      <c r="DJ249" s="50"/>
      <c r="DK249" s="50">
        <f t="shared" si="553"/>
        <v>1E-3</v>
      </c>
    </row>
    <row r="250" spans="1:115" s="37" customFormat="1" ht="14.65" hidden="1" thickBot="1">
      <c r="A250" s="24"/>
      <c r="X250" s="74"/>
      <c r="AB250" s="75"/>
      <c r="AD250" s="78"/>
      <c r="AE250" s="78"/>
      <c r="AG250" s="78"/>
      <c r="AH250" s="80"/>
      <c r="AJ250" s="81"/>
      <c r="AL250" s="85"/>
      <c r="AM250" s="85"/>
      <c r="AO250" s="78"/>
      <c r="AR250" s="81"/>
      <c r="AW250" s="78"/>
      <c r="AZ250" s="81"/>
      <c r="BB250" s="78"/>
      <c r="BD250" s="78"/>
      <c r="BG250" s="81"/>
      <c r="BI250" s="78"/>
      <c r="BK250" s="78"/>
      <c r="BN250" s="81"/>
      <c r="BP250" s="78"/>
      <c r="BQ250" s="78"/>
      <c r="BS250" s="78"/>
      <c r="BV250" s="81"/>
      <c r="BX250" s="78"/>
      <c r="BZ250" s="78"/>
      <c r="CC250" s="117" t="s">
        <v>265</v>
      </c>
      <c r="CD250" s="118" t="s">
        <v>451</v>
      </c>
      <c r="CE250" s="99" t="s">
        <v>306</v>
      </c>
      <c r="CF250" s="103">
        <v>750</v>
      </c>
      <c r="CG250" s="99" t="s">
        <v>452</v>
      </c>
      <c r="CH250" s="105">
        <v>0.02</v>
      </c>
      <c r="CI250" s="105">
        <v>0.15</v>
      </c>
      <c r="CJ250" s="104" t="s">
        <v>385</v>
      </c>
      <c r="CK250" s="46"/>
      <c r="CL250" s="36"/>
      <c r="CM250" s="36"/>
      <c r="CN250" s="46"/>
      <c r="CO250" s="46"/>
      <c r="CP250" s="46"/>
      <c r="CQ250" s="48"/>
      <c r="CR250" s="46"/>
      <c r="CS250" s="103">
        <v>790</v>
      </c>
      <c r="CT250" s="99" t="s">
        <v>442</v>
      </c>
      <c r="CU250" s="48"/>
      <c r="CV250" s="48"/>
      <c r="CW250" s="48"/>
      <c r="CX250" s="46"/>
      <c r="CY250" s="46"/>
      <c r="CZ250" s="48"/>
      <c r="DA250" s="48"/>
      <c r="DB250" s="48"/>
      <c r="DC250" s="48"/>
      <c r="DD250" s="46"/>
      <c r="DE250" s="46"/>
      <c r="DF250" s="48"/>
      <c r="DG250" s="48"/>
      <c r="DH250" s="48"/>
      <c r="DI250" s="49"/>
      <c r="DJ250" s="50">
        <v>0.02</v>
      </c>
      <c r="DK250" s="50">
        <f t="shared" si="553"/>
        <v>0.15</v>
      </c>
    </row>
    <row r="251" spans="1:115" s="37" customFormat="1" ht="14.65" hidden="1" thickBot="1">
      <c r="A251" s="24"/>
      <c r="X251" s="74"/>
      <c r="AB251" s="75"/>
      <c r="AD251" s="78"/>
      <c r="AE251" s="78"/>
      <c r="AG251" s="78"/>
      <c r="AH251" s="80"/>
      <c r="AJ251" s="81"/>
      <c r="AL251" s="85"/>
      <c r="AM251" s="85"/>
      <c r="AO251" s="78"/>
      <c r="AR251" s="81"/>
      <c r="AW251" s="78"/>
      <c r="AZ251" s="81"/>
      <c r="BB251" s="78"/>
      <c r="BD251" s="78"/>
      <c r="BG251" s="81"/>
      <c r="BI251" s="78"/>
      <c r="BK251" s="78"/>
      <c r="BN251" s="81"/>
      <c r="BP251" s="78"/>
      <c r="BQ251" s="78"/>
      <c r="BS251" s="78"/>
      <c r="BV251" s="81"/>
      <c r="BX251" s="78"/>
      <c r="BZ251" s="78"/>
      <c r="CC251" s="117" t="s">
        <v>265</v>
      </c>
      <c r="CD251" s="118" t="s">
        <v>453</v>
      </c>
      <c r="CE251" s="99" t="s">
        <v>306</v>
      </c>
      <c r="CF251" s="103">
        <v>860</v>
      </c>
      <c r="CG251" s="99" t="s">
        <v>452</v>
      </c>
      <c r="CH251" s="105">
        <v>0.02</v>
      </c>
      <c r="CI251" s="105">
        <v>0.15</v>
      </c>
      <c r="CJ251" s="104" t="s">
        <v>385</v>
      </c>
      <c r="CK251" s="46"/>
      <c r="CL251" s="36"/>
      <c r="CM251" s="36"/>
      <c r="CN251" s="46"/>
      <c r="CO251" s="46"/>
      <c r="CP251" s="46"/>
      <c r="CQ251" s="48"/>
      <c r="CR251" s="46"/>
      <c r="CS251" s="103">
        <v>910</v>
      </c>
      <c r="CT251" s="99" t="s">
        <v>442</v>
      </c>
      <c r="CU251" s="48"/>
      <c r="CV251" s="48"/>
      <c r="CW251" s="48"/>
      <c r="CX251" s="46"/>
      <c r="CY251" s="46"/>
      <c r="CZ251" s="48"/>
      <c r="DA251" s="48"/>
      <c r="DB251" s="48"/>
      <c r="DC251" s="48"/>
      <c r="DD251" s="46"/>
      <c r="DE251" s="46"/>
      <c r="DF251" s="48"/>
      <c r="DG251" s="48"/>
      <c r="DH251" s="48"/>
      <c r="DI251" s="49"/>
      <c r="DJ251" s="50">
        <v>0.02</v>
      </c>
      <c r="DK251" s="50">
        <f t="shared" si="553"/>
        <v>0.15</v>
      </c>
    </row>
    <row r="252" spans="1:115" s="37" customFormat="1" ht="14.65" hidden="1" thickBot="1">
      <c r="A252" s="24"/>
      <c r="X252" s="74"/>
      <c r="AB252" s="75"/>
      <c r="AD252" s="78"/>
      <c r="AE252" s="78"/>
      <c r="AG252" s="78"/>
      <c r="AH252" s="80"/>
      <c r="AJ252" s="81"/>
      <c r="AL252" s="85"/>
      <c r="AM252" s="85"/>
      <c r="AO252" s="78"/>
      <c r="AR252" s="81"/>
      <c r="AW252" s="78"/>
      <c r="AZ252" s="81"/>
      <c r="BB252" s="78"/>
      <c r="BD252" s="78"/>
      <c r="BG252" s="81"/>
      <c r="BI252" s="78"/>
      <c r="BK252" s="78"/>
      <c r="BN252" s="81"/>
      <c r="BP252" s="78"/>
      <c r="BQ252" s="78"/>
      <c r="BS252" s="78"/>
      <c r="BV252" s="81"/>
      <c r="BX252" s="78"/>
      <c r="BZ252" s="78"/>
      <c r="CC252" s="117"/>
      <c r="CD252" s="118" t="s">
        <v>454</v>
      </c>
      <c r="CE252" s="99" t="s">
        <v>306</v>
      </c>
      <c r="CF252" s="103">
        <v>439.71</v>
      </c>
      <c r="CG252" s="99" t="s">
        <v>452</v>
      </c>
      <c r="CH252" s="105">
        <v>0.02</v>
      </c>
      <c r="CI252" s="105">
        <v>0.15</v>
      </c>
      <c r="CJ252" s="104" t="s">
        <v>385</v>
      </c>
      <c r="CK252" s="46"/>
      <c r="CL252" s="36"/>
      <c r="CM252" s="36"/>
      <c r="CN252" s="46"/>
      <c r="CO252" s="46"/>
      <c r="CP252" s="46"/>
      <c r="CQ252" s="48"/>
      <c r="CR252" s="46"/>
      <c r="CS252" s="103"/>
      <c r="CT252" s="99"/>
      <c r="CU252" s="48"/>
      <c r="CV252" s="48"/>
      <c r="CW252" s="48"/>
      <c r="CX252" s="46"/>
      <c r="CY252" s="46"/>
      <c r="CZ252" s="48"/>
      <c r="DA252" s="48"/>
      <c r="DB252" s="48"/>
      <c r="DC252" s="48"/>
      <c r="DD252" s="46"/>
      <c r="DE252" s="46"/>
      <c r="DF252" s="48"/>
      <c r="DG252" s="48"/>
      <c r="DH252" s="48"/>
      <c r="DI252" s="49"/>
      <c r="DJ252" s="50"/>
      <c r="DK252" s="50">
        <f t="shared" si="553"/>
        <v>0.15</v>
      </c>
    </row>
    <row r="253" spans="1:115" s="37" customFormat="1" ht="14.65" hidden="1" thickBot="1">
      <c r="A253" s="24"/>
      <c r="X253" s="74"/>
      <c r="AB253" s="75"/>
      <c r="AD253" s="78"/>
      <c r="AE253" s="78"/>
      <c r="AG253" s="78"/>
      <c r="AH253" s="80"/>
      <c r="AJ253" s="81"/>
      <c r="AL253" s="85"/>
      <c r="AM253" s="85"/>
      <c r="AO253" s="78"/>
      <c r="AR253" s="81"/>
      <c r="AW253" s="78"/>
      <c r="AZ253" s="81"/>
      <c r="BB253" s="78"/>
      <c r="BD253" s="78"/>
      <c r="BG253" s="81"/>
      <c r="BI253" s="78"/>
      <c r="BK253" s="78"/>
      <c r="BN253" s="81"/>
      <c r="BP253" s="78"/>
      <c r="BQ253" s="78"/>
      <c r="BS253" s="78"/>
      <c r="BV253" s="81"/>
      <c r="BX253" s="78"/>
      <c r="BZ253" s="78"/>
      <c r="CC253" s="117"/>
      <c r="CD253" s="118" t="s">
        <v>455</v>
      </c>
      <c r="CE253" s="99" t="s">
        <v>306</v>
      </c>
      <c r="CF253" s="103">
        <v>521.97</v>
      </c>
      <c r="CG253" s="99" t="s">
        <v>452</v>
      </c>
      <c r="CH253" s="105">
        <v>0.02</v>
      </c>
      <c r="CI253" s="105">
        <v>0.15</v>
      </c>
      <c r="CJ253" s="104" t="s">
        <v>385</v>
      </c>
      <c r="CK253" s="46"/>
      <c r="CL253" s="36"/>
      <c r="CM253" s="36"/>
      <c r="CN253" s="46"/>
      <c r="CO253" s="46"/>
      <c r="CP253" s="46"/>
      <c r="CQ253" s="48"/>
      <c r="CR253" s="46"/>
      <c r="CS253" s="103"/>
      <c r="CT253" s="99"/>
      <c r="CU253" s="48"/>
      <c r="CV253" s="48"/>
      <c r="CW253" s="48"/>
      <c r="CX253" s="46"/>
      <c r="CY253" s="46"/>
      <c r="CZ253" s="48"/>
      <c r="DA253" s="48"/>
      <c r="DB253" s="48"/>
      <c r="DC253" s="48"/>
      <c r="DD253" s="46"/>
      <c r="DE253" s="46"/>
      <c r="DF253" s="48"/>
      <c r="DG253" s="48"/>
      <c r="DH253" s="48"/>
      <c r="DI253" s="49"/>
      <c r="DJ253" s="50"/>
      <c r="DK253" s="50">
        <f t="shared" si="553"/>
        <v>0.15</v>
      </c>
    </row>
    <row r="254" spans="1:115" s="37" customFormat="1" ht="14.65" hidden="1" thickBot="1">
      <c r="A254" s="24"/>
      <c r="X254" s="74"/>
      <c r="AB254" s="75"/>
      <c r="AD254" s="78"/>
      <c r="AE254" s="78"/>
      <c r="AG254" s="78"/>
      <c r="AH254" s="80"/>
      <c r="AJ254" s="81"/>
      <c r="AL254" s="85"/>
      <c r="AM254" s="85"/>
      <c r="AO254" s="78"/>
      <c r="AR254" s="81"/>
      <c r="AW254" s="78"/>
      <c r="AZ254" s="81"/>
      <c r="BB254" s="78"/>
      <c r="BD254" s="78"/>
      <c r="BG254" s="81"/>
      <c r="BI254" s="78"/>
      <c r="BK254" s="78"/>
      <c r="BN254" s="81"/>
      <c r="BP254" s="78"/>
      <c r="BQ254" s="78"/>
      <c r="BS254" s="78"/>
      <c r="BV254" s="81"/>
      <c r="BX254" s="78"/>
      <c r="BZ254" s="78"/>
      <c r="CC254" s="117"/>
      <c r="CD254" s="118" t="s">
        <v>456</v>
      </c>
      <c r="CE254" s="99" t="s">
        <v>306</v>
      </c>
      <c r="CF254" s="103">
        <v>477.32</v>
      </c>
      <c r="CG254" s="99" t="s">
        <v>452</v>
      </c>
      <c r="CH254" s="105">
        <v>0.02</v>
      </c>
      <c r="CI254" s="105">
        <v>0.15</v>
      </c>
      <c r="CJ254" s="104" t="s">
        <v>385</v>
      </c>
      <c r="CK254" s="46"/>
      <c r="CL254" s="36"/>
      <c r="CM254" s="36"/>
      <c r="CN254" s="46"/>
      <c r="CO254" s="46"/>
      <c r="CP254" s="46"/>
      <c r="CQ254" s="48"/>
      <c r="CR254" s="46"/>
      <c r="CS254" s="103"/>
      <c r="CT254" s="99"/>
      <c r="CU254" s="48"/>
      <c r="CV254" s="48"/>
      <c r="CW254" s="48"/>
      <c r="CX254" s="46"/>
      <c r="CY254" s="46"/>
      <c r="CZ254" s="48"/>
      <c r="DA254" s="48"/>
      <c r="DB254" s="48"/>
      <c r="DC254" s="48"/>
      <c r="DD254" s="46"/>
      <c r="DE254" s="46"/>
      <c r="DF254" s="48"/>
      <c r="DG254" s="48"/>
      <c r="DH254" s="48"/>
      <c r="DI254" s="49"/>
      <c r="DJ254" s="50"/>
      <c r="DK254" s="50">
        <f t="shared" si="553"/>
        <v>0.15</v>
      </c>
    </row>
    <row r="255" spans="1:115" s="37" customFormat="1" ht="14.65" hidden="1" thickBot="1">
      <c r="A255" s="24"/>
      <c r="X255" s="74"/>
      <c r="AB255" s="75"/>
      <c r="AD255" s="78"/>
      <c r="AE255" s="78"/>
      <c r="AG255" s="78"/>
      <c r="AH255" s="80"/>
      <c r="AJ255" s="81"/>
      <c r="AL255" s="85"/>
      <c r="AM255" s="85"/>
      <c r="AO255" s="78"/>
      <c r="AR255" s="81"/>
      <c r="AW255" s="78"/>
      <c r="AZ255" s="81"/>
      <c r="BB255" s="78"/>
      <c r="BD255" s="78"/>
      <c r="BG255" s="81"/>
      <c r="BI255" s="78"/>
      <c r="BK255" s="78"/>
      <c r="BN255" s="81"/>
      <c r="BP255" s="78"/>
      <c r="BQ255" s="78"/>
      <c r="BS255" s="78"/>
      <c r="BV255" s="81"/>
      <c r="BX255" s="78"/>
      <c r="BZ255" s="78"/>
      <c r="CC255" s="117"/>
      <c r="CD255" s="118" t="s">
        <v>457</v>
      </c>
      <c r="CE255" s="99" t="s">
        <v>306</v>
      </c>
      <c r="CF255" s="103">
        <v>379.87</v>
      </c>
      <c r="CG255" s="99" t="s">
        <v>452</v>
      </c>
      <c r="CH255" s="105">
        <v>0.02</v>
      </c>
      <c r="CI255" s="105">
        <v>0.15</v>
      </c>
      <c r="CJ255" s="104" t="s">
        <v>385</v>
      </c>
      <c r="CK255" s="46"/>
      <c r="CL255" s="36"/>
      <c r="CM255" s="36"/>
      <c r="CN255" s="46"/>
      <c r="CO255" s="46"/>
      <c r="CP255" s="46"/>
      <c r="CQ255" s="48"/>
      <c r="CR255" s="46"/>
      <c r="CS255" s="103"/>
      <c r="CT255" s="99"/>
      <c r="CU255" s="48"/>
      <c r="CV255" s="48"/>
      <c r="CW255" s="48"/>
      <c r="CX255" s="46"/>
      <c r="CY255" s="46"/>
      <c r="CZ255" s="48"/>
      <c r="DA255" s="48"/>
      <c r="DB255" s="48"/>
      <c r="DC255" s="48"/>
      <c r="DD255" s="46"/>
      <c r="DE255" s="46"/>
      <c r="DF255" s="48"/>
      <c r="DG255" s="48"/>
      <c r="DH255" s="48"/>
      <c r="DI255" s="49"/>
      <c r="DJ255" s="50"/>
      <c r="DK255" s="50">
        <f t="shared" si="553"/>
        <v>0.15</v>
      </c>
    </row>
    <row r="256" spans="1:115" s="37" customFormat="1" ht="14.65" hidden="1" thickBot="1">
      <c r="A256" s="24"/>
      <c r="X256" s="74"/>
      <c r="AB256" s="75"/>
      <c r="AD256" s="78"/>
      <c r="AE256" s="78"/>
      <c r="AG256" s="78"/>
      <c r="AH256" s="80"/>
      <c r="AJ256" s="81"/>
      <c r="AL256" s="85"/>
      <c r="AM256" s="85"/>
      <c r="AO256" s="78"/>
      <c r="AR256" s="81"/>
      <c r="AW256" s="78"/>
      <c r="AZ256" s="81"/>
      <c r="BB256" s="78"/>
      <c r="BD256" s="78"/>
      <c r="BG256" s="81"/>
      <c r="BI256" s="78"/>
      <c r="BK256" s="78"/>
      <c r="BN256" s="81"/>
      <c r="BP256" s="78"/>
      <c r="BQ256" s="78"/>
      <c r="BS256" s="78"/>
      <c r="BV256" s="81"/>
      <c r="BX256" s="78"/>
      <c r="BZ256" s="78"/>
      <c r="CC256" s="117"/>
      <c r="CD256" s="118" t="s">
        <v>458</v>
      </c>
      <c r="CE256" s="99" t="s">
        <v>306</v>
      </c>
      <c r="CF256" s="103">
        <v>382.86</v>
      </c>
      <c r="CG256" s="99" t="s">
        <v>452</v>
      </c>
      <c r="CH256" s="105">
        <v>0.02</v>
      </c>
      <c r="CI256" s="105">
        <v>0.15</v>
      </c>
      <c r="CJ256" s="104" t="s">
        <v>385</v>
      </c>
      <c r="CK256" s="46"/>
      <c r="CL256" s="36"/>
      <c r="CM256" s="36"/>
      <c r="CN256" s="46"/>
      <c r="CO256" s="46"/>
      <c r="CP256" s="46"/>
      <c r="CQ256" s="48"/>
      <c r="CR256" s="46"/>
      <c r="CS256" s="103"/>
      <c r="CT256" s="99"/>
      <c r="CU256" s="48"/>
      <c r="CV256" s="48"/>
      <c r="CW256" s="48"/>
      <c r="CX256" s="46"/>
      <c r="CY256" s="46"/>
      <c r="CZ256" s="48"/>
      <c r="DA256" s="48"/>
      <c r="DB256" s="48"/>
      <c r="DC256" s="48"/>
      <c r="DD256" s="46"/>
      <c r="DE256" s="46"/>
      <c r="DF256" s="48"/>
      <c r="DG256" s="48"/>
      <c r="DH256" s="48"/>
      <c r="DI256" s="49"/>
      <c r="DJ256" s="50"/>
      <c r="DK256" s="50">
        <f t="shared" si="553"/>
        <v>0.15</v>
      </c>
    </row>
    <row r="257" spans="1:115" s="37" customFormat="1" ht="14.65" hidden="1" thickBot="1">
      <c r="A257" s="24"/>
      <c r="X257" s="74"/>
      <c r="AB257" s="75"/>
      <c r="AD257" s="78"/>
      <c r="AE257" s="78"/>
      <c r="AG257" s="78"/>
      <c r="AH257" s="80"/>
      <c r="AJ257" s="81"/>
      <c r="AL257" s="85"/>
      <c r="AM257" s="85"/>
      <c r="AO257" s="78"/>
      <c r="AR257" s="81"/>
      <c r="AW257" s="78"/>
      <c r="AZ257" s="81"/>
      <c r="BB257" s="78"/>
      <c r="BD257" s="78"/>
      <c r="BG257" s="81"/>
      <c r="BI257" s="78"/>
      <c r="BK257" s="78"/>
      <c r="BN257" s="81"/>
      <c r="BP257" s="78"/>
      <c r="BQ257" s="78"/>
      <c r="BS257" s="78"/>
      <c r="BV257" s="81"/>
      <c r="BX257" s="78"/>
      <c r="BZ257" s="78"/>
      <c r="CC257" s="117"/>
      <c r="CD257" s="118" t="s">
        <v>459</v>
      </c>
      <c r="CE257" s="99" t="s">
        <v>306</v>
      </c>
      <c r="CF257" s="103">
        <v>414.92</v>
      </c>
      <c r="CG257" s="99" t="s">
        <v>452</v>
      </c>
      <c r="CH257" s="105">
        <v>0.02</v>
      </c>
      <c r="CI257" s="105">
        <v>0.15</v>
      </c>
      <c r="CJ257" s="104" t="s">
        <v>385</v>
      </c>
      <c r="CK257" s="46"/>
      <c r="CL257" s="36"/>
      <c r="CM257" s="36"/>
      <c r="CN257" s="46"/>
      <c r="CO257" s="46"/>
      <c r="CP257" s="46"/>
      <c r="CQ257" s="48"/>
      <c r="CR257" s="46"/>
      <c r="CS257" s="103"/>
      <c r="CT257" s="99"/>
      <c r="CU257" s="48"/>
      <c r="CV257" s="48"/>
      <c r="CW257" s="48"/>
      <c r="CX257" s="46"/>
      <c r="CY257" s="46"/>
      <c r="CZ257" s="48"/>
      <c r="DA257" s="48"/>
      <c r="DB257" s="48"/>
      <c r="DC257" s="48"/>
      <c r="DD257" s="46"/>
      <c r="DE257" s="46"/>
      <c r="DF257" s="48"/>
      <c r="DG257" s="48"/>
      <c r="DH257" s="48"/>
      <c r="DI257" s="49"/>
      <c r="DJ257" s="50"/>
      <c r="DK257" s="50">
        <f t="shared" si="553"/>
        <v>0.15</v>
      </c>
    </row>
    <row r="258" spans="1:115" s="37" customFormat="1" ht="14.65" hidden="1" thickBot="1">
      <c r="A258" s="24"/>
      <c r="X258" s="74"/>
      <c r="AB258" s="75"/>
      <c r="AD258" s="78"/>
      <c r="AE258" s="78"/>
      <c r="AG258" s="78"/>
      <c r="AH258" s="80"/>
      <c r="AJ258" s="81"/>
      <c r="AL258" s="85"/>
      <c r="AM258" s="85"/>
      <c r="AO258" s="78"/>
      <c r="AR258" s="81"/>
      <c r="AW258" s="78"/>
      <c r="AZ258" s="81"/>
      <c r="BB258" s="78"/>
      <c r="BD258" s="78"/>
      <c r="BG258" s="81"/>
      <c r="BI258" s="78"/>
      <c r="BK258" s="78"/>
      <c r="BN258" s="81"/>
      <c r="BP258" s="78"/>
      <c r="BQ258" s="78"/>
      <c r="BS258" s="78"/>
      <c r="BV258" s="81"/>
      <c r="BX258" s="78"/>
      <c r="BZ258" s="78"/>
      <c r="CC258" s="117"/>
      <c r="CD258" s="118" t="s">
        <v>460</v>
      </c>
      <c r="CE258" s="99" t="s">
        <v>306</v>
      </c>
      <c r="CF258" s="103">
        <v>475.72</v>
      </c>
      <c r="CG258" s="99" t="s">
        <v>452</v>
      </c>
      <c r="CH258" s="105">
        <v>0.02</v>
      </c>
      <c r="CI258" s="105">
        <v>0.15</v>
      </c>
      <c r="CJ258" s="104" t="s">
        <v>385</v>
      </c>
      <c r="CK258" s="46"/>
      <c r="CL258" s="36"/>
      <c r="CM258" s="36"/>
      <c r="CN258" s="46"/>
      <c r="CO258" s="46"/>
      <c r="CP258" s="46"/>
      <c r="CQ258" s="48"/>
      <c r="CR258" s="46"/>
      <c r="CS258" s="103"/>
      <c r="CT258" s="99"/>
      <c r="CU258" s="48"/>
      <c r="CV258" s="48"/>
      <c r="CW258" s="48"/>
      <c r="CX258" s="46"/>
      <c r="CY258" s="46"/>
      <c r="CZ258" s="48"/>
      <c r="DA258" s="48"/>
      <c r="DB258" s="48"/>
      <c r="DC258" s="48"/>
      <c r="DD258" s="46"/>
      <c r="DE258" s="46"/>
      <c r="DF258" s="48"/>
      <c r="DG258" s="48"/>
      <c r="DH258" s="48"/>
      <c r="DI258" s="49"/>
      <c r="DJ258" s="50"/>
      <c r="DK258" s="50">
        <f t="shared" si="553"/>
        <v>0.15</v>
      </c>
    </row>
    <row r="259" spans="1:115" s="37" customFormat="1" ht="14.65" hidden="1" thickBot="1">
      <c r="A259" s="24"/>
      <c r="X259" s="74"/>
      <c r="AB259" s="75"/>
      <c r="AD259" s="78"/>
      <c r="AE259" s="78"/>
      <c r="AG259" s="78"/>
      <c r="AH259" s="80"/>
      <c r="AJ259" s="81"/>
      <c r="AL259" s="85"/>
      <c r="AM259" s="85"/>
      <c r="AO259" s="78"/>
      <c r="AR259" s="81"/>
      <c r="AW259" s="78"/>
      <c r="AZ259" s="81"/>
      <c r="BB259" s="78"/>
      <c r="BD259" s="78"/>
      <c r="BG259" s="81"/>
      <c r="BI259" s="78"/>
      <c r="BK259" s="78"/>
      <c r="BN259" s="81"/>
      <c r="BP259" s="78"/>
      <c r="BQ259" s="78"/>
      <c r="BS259" s="78"/>
      <c r="BV259" s="81"/>
      <c r="BX259" s="78"/>
      <c r="BZ259" s="78"/>
      <c r="CC259" s="117"/>
      <c r="CD259" s="118" t="s">
        <v>461</v>
      </c>
      <c r="CE259" s="118" t="s">
        <v>340</v>
      </c>
      <c r="CF259" s="103">
        <v>0.21</v>
      </c>
      <c r="CG259" s="99" t="s">
        <v>452</v>
      </c>
      <c r="CH259" s="105">
        <v>0.1</v>
      </c>
      <c r="CI259" s="105">
        <v>0.6</v>
      </c>
      <c r="CJ259" s="104" t="s">
        <v>385</v>
      </c>
      <c r="CK259" s="46"/>
      <c r="CL259" s="36"/>
      <c r="CM259" s="36"/>
      <c r="CN259" s="46"/>
      <c r="CO259" s="46"/>
      <c r="CP259" s="46"/>
      <c r="CQ259" s="48"/>
      <c r="CR259" s="46"/>
      <c r="CS259" s="103"/>
      <c r="CT259" s="99"/>
      <c r="CU259" s="48"/>
      <c r="CV259" s="48"/>
      <c r="CW259" s="48"/>
      <c r="CX259" s="46"/>
      <c r="CY259" s="46"/>
      <c r="CZ259" s="48"/>
      <c r="DA259" s="48"/>
      <c r="DB259" s="48"/>
      <c r="DC259" s="48"/>
      <c r="DD259" s="46"/>
      <c r="DE259" s="46"/>
      <c r="DF259" s="48"/>
      <c r="DG259" s="48"/>
      <c r="DH259" s="48"/>
      <c r="DI259" s="49"/>
      <c r="DJ259" s="50"/>
      <c r="DK259" s="50">
        <f t="shared" ref="DK259:DK318" si="562">CI259</f>
        <v>0.6</v>
      </c>
    </row>
    <row r="260" spans="1:115" s="37" customFormat="1" ht="14.65" hidden="1" thickBot="1">
      <c r="A260" s="24"/>
      <c r="X260" s="74"/>
      <c r="AB260" s="75"/>
      <c r="AD260" s="78"/>
      <c r="AE260" s="78"/>
      <c r="AG260" s="78"/>
      <c r="AH260" s="80"/>
      <c r="AJ260" s="81"/>
      <c r="AL260" s="85"/>
      <c r="AM260" s="85"/>
      <c r="AO260" s="78"/>
      <c r="AR260" s="81"/>
      <c r="AW260" s="78"/>
      <c r="AZ260" s="81"/>
      <c r="BB260" s="78"/>
      <c r="BD260" s="78"/>
      <c r="BG260" s="81"/>
      <c r="BI260" s="78"/>
      <c r="BK260" s="78"/>
      <c r="BN260" s="81"/>
      <c r="BP260" s="78"/>
      <c r="BQ260" s="78"/>
      <c r="BS260" s="78"/>
      <c r="BV260" s="81"/>
      <c r="BX260" s="78"/>
      <c r="BZ260" s="78"/>
      <c r="CC260" s="117"/>
      <c r="CD260" s="118" t="s">
        <v>462</v>
      </c>
      <c r="CE260" s="118" t="s">
        <v>340</v>
      </c>
      <c r="CF260" s="103">
        <v>0.25</v>
      </c>
      <c r="CG260" s="99" t="s">
        <v>452</v>
      </c>
      <c r="CH260" s="105">
        <v>0.1</v>
      </c>
      <c r="CI260" s="105">
        <v>0.6</v>
      </c>
      <c r="CJ260" s="104" t="s">
        <v>385</v>
      </c>
      <c r="CK260" s="46"/>
      <c r="CL260" s="36"/>
      <c r="CM260" s="36"/>
      <c r="CN260" s="46"/>
      <c r="CO260" s="46"/>
      <c r="CP260" s="46"/>
      <c r="CQ260" s="48"/>
      <c r="CR260" s="46"/>
      <c r="CS260" s="103"/>
      <c r="CT260" s="99"/>
      <c r="CU260" s="48"/>
      <c r="CV260" s="48"/>
      <c r="CW260" s="48"/>
      <c r="CX260" s="46"/>
      <c r="CY260" s="46"/>
      <c r="CZ260" s="48"/>
      <c r="DA260" s="48"/>
      <c r="DB260" s="48"/>
      <c r="DC260" s="48"/>
      <c r="DD260" s="46"/>
      <c r="DE260" s="46"/>
      <c r="DF260" s="48"/>
      <c r="DG260" s="48"/>
      <c r="DH260" s="48"/>
      <c r="DI260" s="49"/>
      <c r="DJ260" s="50"/>
      <c r="DK260" s="50">
        <f t="shared" si="562"/>
        <v>0.6</v>
      </c>
    </row>
    <row r="261" spans="1:115" s="37" customFormat="1" ht="14.65" hidden="1" thickBot="1">
      <c r="A261" s="24"/>
      <c r="X261" s="74"/>
      <c r="AB261" s="75"/>
      <c r="AD261" s="78"/>
      <c r="AE261" s="78"/>
      <c r="AG261" s="78"/>
      <c r="AH261" s="80"/>
      <c r="AJ261" s="81"/>
      <c r="AL261" s="85"/>
      <c r="AM261" s="85"/>
      <c r="AO261" s="78"/>
      <c r="AR261" s="81"/>
      <c r="AW261" s="78"/>
      <c r="AZ261" s="81"/>
      <c r="BB261" s="78"/>
      <c r="BD261" s="78"/>
      <c r="BG261" s="81"/>
      <c r="BI261" s="78"/>
      <c r="BK261" s="78"/>
      <c r="BN261" s="81"/>
      <c r="BP261" s="78"/>
      <c r="BQ261" s="78"/>
      <c r="BS261" s="78"/>
      <c r="BV261" s="81"/>
      <c r="BX261" s="78"/>
      <c r="BZ261" s="78"/>
      <c r="CC261" s="117"/>
      <c r="CD261" s="118" t="s">
        <v>463</v>
      </c>
      <c r="CE261" s="118" t="s">
        <v>340</v>
      </c>
      <c r="CF261" s="103">
        <v>0.1</v>
      </c>
      <c r="CG261" s="99" t="s">
        <v>452</v>
      </c>
      <c r="CH261" s="105">
        <v>0.1</v>
      </c>
      <c r="CI261" s="105">
        <v>0.6</v>
      </c>
      <c r="CJ261" s="104" t="s">
        <v>385</v>
      </c>
      <c r="CK261" s="46"/>
      <c r="CL261" s="36"/>
      <c r="CM261" s="36"/>
      <c r="CN261" s="46"/>
      <c r="CO261" s="46"/>
      <c r="CP261" s="46"/>
      <c r="CQ261" s="48"/>
      <c r="CR261" s="46"/>
      <c r="CS261" s="103"/>
      <c r="CT261" s="99"/>
      <c r="CU261" s="48"/>
      <c r="CV261" s="48"/>
      <c r="CW261" s="48"/>
      <c r="CX261" s="46"/>
      <c r="CY261" s="46"/>
      <c r="CZ261" s="48"/>
      <c r="DA261" s="48"/>
      <c r="DB261" s="48"/>
      <c r="DC261" s="48"/>
      <c r="DD261" s="46"/>
      <c r="DE261" s="46"/>
      <c r="DF261" s="48"/>
      <c r="DG261" s="48"/>
      <c r="DH261" s="48"/>
      <c r="DI261" s="49"/>
      <c r="DJ261" s="50"/>
      <c r="DK261" s="50">
        <f t="shared" si="562"/>
        <v>0.6</v>
      </c>
    </row>
    <row r="262" spans="1:115" s="37" customFormat="1" ht="14.65" hidden="1" thickBot="1">
      <c r="A262" s="24"/>
      <c r="X262" s="74"/>
      <c r="AB262" s="75"/>
      <c r="AD262" s="78"/>
      <c r="AE262" s="78"/>
      <c r="AG262" s="78"/>
      <c r="AH262" s="80"/>
      <c r="AJ262" s="81"/>
      <c r="AL262" s="85"/>
      <c r="AM262" s="85"/>
      <c r="AO262" s="78"/>
      <c r="AR262" s="81"/>
      <c r="AW262" s="78"/>
      <c r="AZ262" s="81"/>
      <c r="BB262" s="78"/>
      <c r="BD262" s="78"/>
      <c r="BG262" s="81"/>
      <c r="BI262" s="78"/>
      <c r="BK262" s="78"/>
      <c r="BN262" s="81"/>
      <c r="BP262" s="78"/>
      <c r="BQ262" s="78"/>
      <c r="BS262" s="78"/>
      <c r="BV262" s="81"/>
      <c r="BX262" s="78"/>
      <c r="BZ262" s="78"/>
      <c r="CC262" s="117"/>
      <c r="CD262" s="118" t="s">
        <v>464</v>
      </c>
      <c r="CE262" s="118" t="s">
        <v>340</v>
      </c>
      <c r="CF262" s="103">
        <v>0.2</v>
      </c>
      <c r="CG262" s="99" t="s">
        <v>452</v>
      </c>
      <c r="CH262" s="105">
        <v>0.1</v>
      </c>
      <c r="CI262" s="105">
        <v>0.6</v>
      </c>
      <c r="CJ262" s="104" t="s">
        <v>385</v>
      </c>
      <c r="CK262" s="46"/>
      <c r="CL262" s="36"/>
      <c r="CM262" s="36"/>
      <c r="CN262" s="46"/>
      <c r="CO262" s="46"/>
      <c r="CP262" s="46"/>
      <c r="CQ262" s="48"/>
      <c r="CR262" s="46"/>
      <c r="CS262" s="103"/>
      <c r="CT262" s="99"/>
      <c r="CU262" s="48"/>
      <c r="CV262" s="48"/>
      <c r="CW262" s="48"/>
      <c r="CX262" s="46"/>
      <c r="CY262" s="46"/>
      <c r="CZ262" s="48"/>
      <c r="DA262" s="48"/>
      <c r="DB262" s="48"/>
      <c r="DC262" s="48"/>
      <c r="DD262" s="46"/>
      <c r="DE262" s="46"/>
      <c r="DF262" s="48"/>
      <c r="DG262" s="48"/>
      <c r="DH262" s="48"/>
      <c r="DI262" s="49"/>
      <c r="DJ262" s="50"/>
      <c r="DK262" s="50">
        <f t="shared" si="562"/>
        <v>0.6</v>
      </c>
    </row>
    <row r="263" spans="1:115" s="37" customFormat="1" ht="14.65" hidden="1" thickBot="1">
      <c r="A263" s="24"/>
      <c r="X263" s="74"/>
      <c r="AB263" s="75"/>
      <c r="AD263" s="78"/>
      <c r="AE263" s="78"/>
      <c r="AG263" s="78"/>
      <c r="AH263" s="80"/>
      <c r="AJ263" s="81"/>
      <c r="AL263" s="85"/>
      <c r="AM263" s="85"/>
      <c r="AO263" s="78"/>
      <c r="AR263" s="81"/>
      <c r="AW263" s="78"/>
      <c r="AZ263" s="81"/>
      <c r="BB263" s="78"/>
      <c r="BD263" s="78"/>
      <c r="BG263" s="81"/>
      <c r="BI263" s="78"/>
      <c r="BK263" s="78"/>
      <c r="BN263" s="81"/>
      <c r="BP263" s="78"/>
      <c r="BQ263" s="78"/>
      <c r="BS263" s="78"/>
      <c r="BV263" s="81"/>
      <c r="BX263" s="78"/>
      <c r="BZ263" s="78"/>
      <c r="CC263" s="117"/>
      <c r="CD263" s="118" t="s">
        <v>465</v>
      </c>
      <c r="CE263" s="118" t="s">
        <v>340</v>
      </c>
      <c r="CF263" s="103">
        <v>0.03</v>
      </c>
      <c r="CG263" s="99" t="s">
        <v>452</v>
      </c>
      <c r="CH263" s="105">
        <v>0.1</v>
      </c>
      <c r="CI263" s="105">
        <v>0.6</v>
      </c>
      <c r="CJ263" s="104" t="s">
        <v>385</v>
      </c>
      <c r="CK263" s="46"/>
      <c r="CL263" s="36"/>
      <c r="CM263" s="36"/>
      <c r="CN263" s="46"/>
      <c r="CO263" s="46"/>
      <c r="CP263" s="46"/>
      <c r="CQ263" s="48"/>
      <c r="CR263" s="46"/>
      <c r="CS263" s="103"/>
      <c r="CT263" s="99"/>
      <c r="CU263" s="48"/>
      <c r="CV263" s="48"/>
      <c r="CW263" s="48"/>
      <c r="CX263" s="46"/>
      <c r="CY263" s="46"/>
      <c r="CZ263" s="48"/>
      <c r="DA263" s="48"/>
      <c r="DB263" s="48"/>
      <c r="DC263" s="48"/>
      <c r="DD263" s="46"/>
      <c r="DE263" s="46"/>
      <c r="DF263" s="48"/>
      <c r="DG263" s="48"/>
      <c r="DH263" s="48"/>
      <c r="DI263" s="49"/>
      <c r="DJ263" s="50"/>
      <c r="DK263" s="50">
        <f t="shared" si="562"/>
        <v>0.6</v>
      </c>
    </row>
    <row r="264" spans="1:115" s="37" customFormat="1" ht="14.65" hidden="1" thickBot="1">
      <c r="A264" s="24"/>
      <c r="X264" s="74"/>
      <c r="AB264" s="75"/>
      <c r="AD264" s="78"/>
      <c r="AE264" s="78"/>
      <c r="AG264" s="78"/>
      <c r="AH264" s="80"/>
      <c r="AJ264" s="81"/>
      <c r="AL264" s="85"/>
      <c r="AM264" s="85"/>
      <c r="AO264" s="78"/>
      <c r="AR264" s="81"/>
      <c r="AW264" s="78"/>
      <c r="AZ264" s="81"/>
      <c r="BB264" s="78"/>
      <c r="BD264" s="78"/>
      <c r="BG264" s="81"/>
      <c r="BI264" s="78"/>
      <c r="BK264" s="78"/>
      <c r="BN264" s="81"/>
      <c r="BP264" s="78"/>
      <c r="BQ264" s="78"/>
      <c r="BS264" s="78"/>
      <c r="BV264" s="81"/>
      <c r="BX264" s="78"/>
      <c r="BZ264" s="78"/>
      <c r="CC264" s="117"/>
      <c r="CD264" s="118" t="s">
        <v>466</v>
      </c>
      <c r="CE264" s="99" t="s">
        <v>467</v>
      </c>
      <c r="CF264" s="103">
        <v>3273</v>
      </c>
      <c r="CG264" s="99" t="s">
        <v>468</v>
      </c>
      <c r="CH264" s="105">
        <v>0.02</v>
      </c>
      <c r="CI264" s="105">
        <v>0.05</v>
      </c>
      <c r="CJ264" s="104" t="s">
        <v>385</v>
      </c>
      <c r="CK264" s="46"/>
      <c r="CL264" s="36"/>
      <c r="CM264" s="36"/>
      <c r="CN264" s="46"/>
      <c r="CO264" s="46"/>
      <c r="CP264" s="46"/>
      <c r="CQ264" s="48"/>
      <c r="CR264" s="46"/>
      <c r="CS264" s="103"/>
      <c r="CT264" s="99"/>
      <c r="CU264" s="48"/>
      <c r="CV264" s="48"/>
      <c r="CW264" s="48"/>
      <c r="CX264" s="46"/>
      <c r="CY264" s="46"/>
      <c r="CZ264" s="48"/>
      <c r="DA264" s="48"/>
      <c r="DB264" s="48"/>
      <c r="DC264" s="48"/>
      <c r="DD264" s="46"/>
      <c r="DE264" s="46"/>
      <c r="DF264" s="48"/>
      <c r="DG264" s="48"/>
      <c r="DH264" s="48"/>
      <c r="DI264" s="49"/>
      <c r="DJ264" s="50"/>
      <c r="DK264" s="50">
        <f t="shared" si="562"/>
        <v>0.05</v>
      </c>
    </row>
    <row r="265" spans="1:115" s="37" customFormat="1" ht="28.15" hidden="1" thickBot="1">
      <c r="A265" s="24"/>
      <c r="X265" s="74"/>
      <c r="AB265" s="75"/>
      <c r="AD265" s="78"/>
      <c r="AE265" s="78"/>
      <c r="AG265" s="78"/>
      <c r="AH265" s="80"/>
      <c r="AJ265" s="81"/>
      <c r="AL265" s="85"/>
      <c r="AM265" s="85"/>
      <c r="AO265" s="78"/>
      <c r="AR265" s="81"/>
      <c r="AW265" s="78"/>
      <c r="AZ265" s="81"/>
      <c r="BB265" s="78"/>
      <c r="BD265" s="78"/>
      <c r="BG265" s="81"/>
      <c r="BI265" s="78"/>
      <c r="BK265" s="78"/>
      <c r="BN265" s="81"/>
      <c r="BP265" s="78"/>
      <c r="BQ265" s="78"/>
      <c r="BS265" s="78"/>
      <c r="BV265" s="81"/>
      <c r="BX265" s="78"/>
      <c r="BZ265" s="78"/>
      <c r="CC265" s="117" t="s">
        <v>265</v>
      </c>
      <c r="CD265" s="118" t="s">
        <v>469</v>
      </c>
      <c r="CE265" s="118" t="s">
        <v>306</v>
      </c>
      <c r="CF265" s="103">
        <f>(3.13757879682717*1000)</f>
        <v>3137.5787968271702</v>
      </c>
      <c r="CG265" s="99" t="s">
        <v>452</v>
      </c>
      <c r="CH265" s="105">
        <v>0.02</v>
      </c>
      <c r="CI265" s="105">
        <v>0.5</v>
      </c>
      <c r="CJ265" s="104" t="s">
        <v>470</v>
      </c>
      <c r="CK265" s="46"/>
      <c r="CL265" s="36"/>
      <c r="CM265" s="36"/>
      <c r="CN265" s="46"/>
      <c r="CO265" s="46"/>
      <c r="CP265" s="46"/>
      <c r="CQ265" s="48"/>
      <c r="CR265" s="46"/>
      <c r="CS265" s="103"/>
      <c r="CT265" s="99"/>
      <c r="CU265" s="48"/>
      <c r="CV265" s="48"/>
      <c r="CW265" s="48"/>
      <c r="CX265" s="46"/>
      <c r="CY265" s="46"/>
      <c r="CZ265" s="48"/>
      <c r="DA265" s="48"/>
      <c r="DB265" s="48"/>
      <c r="DC265" s="48"/>
      <c r="DD265" s="46"/>
      <c r="DE265" s="46"/>
      <c r="DF265" s="48"/>
      <c r="DG265" s="48"/>
      <c r="DH265" s="48"/>
      <c r="DI265" s="49"/>
      <c r="DJ265" s="50">
        <v>0.02</v>
      </c>
      <c r="DK265" s="50">
        <f t="shared" si="562"/>
        <v>0.5</v>
      </c>
    </row>
    <row r="266" spans="1:115" s="37" customFormat="1" ht="15.75" hidden="1" thickBot="1">
      <c r="A266" s="24"/>
      <c r="X266" s="74"/>
      <c r="AB266" s="75"/>
      <c r="AD266" s="78"/>
      <c r="AE266" s="78"/>
      <c r="AG266" s="78"/>
      <c r="AH266" s="80"/>
      <c r="AJ266" s="81"/>
      <c r="AL266" s="85"/>
      <c r="AM266" s="85"/>
      <c r="AO266" s="78"/>
      <c r="AR266" s="81"/>
      <c r="AW266" s="78"/>
      <c r="AZ266" s="81"/>
      <c r="BB266" s="78"/>
      <c r="BD266" s="78"/>
      <c r="BG266" s="81"/>
      <c r="BI266" s="78"/>
      <c r="BK266" s="78"/>
      <c r="BN266" s="81"/>
      <c r="BP266" s="78"/>
      <c r="BQ266" s="78"/>
      <c r="BS266" s="78"/>
      <c r="BV266" s="81"/>
      <c r="BX266" s="78"/>
      <c r="BZ266" s="78"/>
      <c r="CC266" s="117" t="s">
        <v>265</v>
      </c>
      <c r="CD266" s="118" t="s">
        <v>471</v>
      </c>
      <c r="CE266" s="118" t="s">
        <v>306</v>
      </c>
      <c r="CF266" s="103">
        <v>19</v>
      </c>
      <c r="CG266" s="99" t="s">
        <v>472</v>
      </c>
      <c r="CH266" s="105">
        <v>0.1</v>
      </c>
      <c r="CI266" s="105">
        <v>0.4</v>
      </c>
      <c r="CJ266" s="104" t="s">
        <v>397</v>
      </c>
      <c r="CK266" s="46"/>
      <c r="CL266" s="36"/>
      <c r="CM266" s="36"/>
      <c r="CN266" s="46"/>
      <c r="CO266" s="46"/>
      <c r="CP266" s="46"/>
      <c r="CQ266" s="48"/>
      <c r="CR266" s="46"/>
      <c r="CS266" s="103">
        <v>1500</v>
      </c>
      <c r="CT266" s="99" t="s">
        <v>442</v>
      </c>
      <c r="CU266" s="48"/>
      <c r="CV266" s="48"/>
      <c r="CW266" s="48"/>
      <c r="CX266" s="46"/>
      <c r="CY266" s="46"/>
      <c r="CZ266" s="48"/>
      <c r="DA266" s="48"/>
      <c r="DB266" s="48"/>
      <c r="DC266" s="48"/>
      <c r="DD266" s="46"/>
      <c r="DE266" s="46"/>
      <c r="DF266" s="48"/>
      <c r="DG266" s="48"/>
      <c r="DH266" s="48"/>
      <c r="DI266" s="49"/>
      <c r="DJ266" s="50">
        <v>0.02</v>
      </c>
      <c r="DK266" s="50">
        <f t="shared" si="562"/>
        <v>0.4</v>
      </c>
    </row>
    <row r="267" spans="1:115" s="37" customFormat="1" ht="15.75" hidden="1" thickBot="1">
      <c r="A267" s="24"/>
      <c r="X267" s="74"/>
      <c r="AB267" s="75"/>
      <c r="AD267" s="78"/>
      <c r="AE267" s="78"/>
      <c r="AG267" s="78"/>
      <c r="AH267" s="80"/>
      <c r="AJ267" s="81"/>
      <c r="AL267" s="85"/>
      <c r="AM267" s="85"/>
      <c r="AO267" s="78"/>
      <c r="AR267" s="81"/>
      <c r="AW267" s="78"/>
      <c r="AZ267" s="81"/>
      <c r="BB267" s="78"/>
      <c r="BD267" s="78"/>
      <c r="BG267" s="81"/>
      <c r="BI267" s="78"/>
      <c r="BK267" s="78"/>
      <c r="BN267" s="81"/>
      <c r="BP267" s="78"/>
      <c r="BQ267" s="78"/>
      <c r="BV267" s="81"/>
      <c r="BX267" s="78"/>
      <c r="CA267" s="123"/>
      <c r="CC267" s="117"/>
      <c r="CD267" s="118" t="s">
        <v>473</v>
      </c>
      <c r="CE267" s="99" t="s">
        <v>474</v>
      </c>
      <c r="CF267" s="103">
        <f>0*0</f>
        <v>0</v>
      </c>
      <c r="CG267" s="99" t="s">
        <v>475</v>
      </c>
      <c r="CH267" s="105">
        <f t="shared" ref="CH267:CI268" si="563">SQRT((10%*10%)+(30%+30%))</f>
        <v>0.78102496759066542</v>
      </c>
      <c r="CI267" s="105">
        <f t="shared" si="563"/>
        <v>0.78102496759066542</v>
      </c>
      <c r="CJ267" s="104" t="s">
        <v>397</v>
      </c>
      <c r="CK267" s="46"/>
      <c r="CL267" s="36"/>
      <c r="CM267" s="36"/>
      <c r="CN267" s="46"/>
      <c r="CO267" s="46"/>
      <c r="CP267" s="46"/>
      <c r="CQ267" s="48"/>
      <c r="CR267" s="46"/>
      <c r="CS267" s="103"/>
      <c r="CT267" s="99"/>
      <c r="CU267" s="48"/>
      <c r="CV267" s="48"/>
      <c r="CW267" s="48"/>
      <c r="CX267" s="46"/>
      <c r="CY267" s="46"/>
      <c r="CZ267" s="48"/>
      <c r="DA267" s="48"/>
      <c r="DB267" s="48"/>
      <c r="DC267" s="48"/>
      <c r="DD267" s="46"/>
      <c r="DE267" s="46"/>
      <c r="DF267" s="48"/>
      <c r="DG267" s="48"/>
      <c r="DH267" s="48"/>
      <c r="DI267" s="49"/>
      <c r="DJ267" s="50"/>
      <c r="DK267" s="50">
        <v>0.35</v>
      </c>
    </row>
    <row r="268" spans="1:115" s="37" customFormat="1" ht="15.75" hidden="1" thickBot="1">
      <c r="A268" s="24"/>
      <c r="X268" s="74"/>
      <c r="AB268" s="75"/>
      <c r="AD268" s="78"/>
      <c r="AE268" s="78"/>
      <c r="AG268" s="78"/>
      <c r="AH268" s="80"/>
      <c r="AJ268" s="81"/>
      <c r="AL268" s="85"/>
      <c r="AM268" s="85"/>
      <c r="AO268" s="78"/>
      <c r="AR268" s="81"/>
      <c r="AW268" s="78"/>
      <c r="AZ268" s="81"/>
      <c r="BB268" s="78"/>
      <c r="BD268" s="78"/>
      <c r="BG268" s="81"/>
      <c r="BI268" s="78"/>
      <c r="BK268" s="78"/>
      <c r="BN268" s="81"/>
      <c r="BP268" s="78"/>
      <c r="BQ268" s="78"/>
      <c r="BV268" s="81"/>
      <c r="BX268" s="78"/>
      <c r="CA268" s="123"/>
      <c r="CB268" s="38"/>
      <c r="CC268" s="117"/>
      <c r="CD268" s="118" t="s">
        <v>476</v>
      </c>
      <c r="CE268" s="99" t="s">
        <v>474</v>
      </c>
      <c r="CF268" s="103">
        <f>0.8*0.48</f>
        <v>0.38400000000000001</v>
      </c>
      <c r="CG268" s="99" t="s">
        <v>475</v>
      </c>
      <c r="CH268" s="105">
        <f t="shared" si="563"/>
        <v>0.78102496759066542</v>
      </c>
      <c r="CI268" s="105">
        <f t="shared" si="563"/>
        <v>0.78102496759066542</v>
      </c>
      <c r="CJ268" s="104" t="s">
        <v>397</v>
      </c>
      <c r="CK268" s="46"/>
      <c r="CL268" s="36"/>
      <c r="CM268" s="36"/>
      <c r="CN268" s="46"/>
      <c r="CO268" s="46"/>
      <c r="CP268" s="46"/>
      <c r="CQ268" s="48"/>
      <c r="CR268" s="46"/>
      <c r="CS268" s="103"/>
      <c r="CT268" s="99"/>
      <c r="CU268" s="48"/>
      <c r="CV268" s="48"/>
      <c r="CW268" s="48"/>
      <c r="CX268" s="46"/>
      <c r="CY268" s="46"/>
      <c r="CZ268" s="48"/>
      <c r="DA268" s="48"/>
      <c r="DB268" s="48"/>
      <c r="DC268" s="48"/>
      <c r="DD268" s="46"/>
      <c r="DE268" s="46"/>
      <c r="DF268" s="48"/>
      <c r="DG268" s="48"/>
      <c r="DH268" s="48"/>
      <c r="DI268" s="49"/>
      <c r="DJ268" s="50"/>
      <c r="DK268" s="50">
        <v>0.35</v>
      </c>
    </row>
    <row r="269" spans="1:115" s="37" customFormat="1" ht="15.75" hidden="1" thickBot="1">
      <c r="A269" s="24"/>
      <c r="X269" s="74"/>
      <c r="AB269" s="75"/>
      <c r="AD269" s="78"/>
      <c r="AE269" s="78"/>
      <c r="AG269" s="78"/>
      <c r="AH269" s="80"/>
      <c r="AJ269" s="81"/>
      <c r="AL269" s="85"/>
      <c r="AM269" s="85"/>
      <c r="AO269" s="78"/>
      <c r="AR269" s="81"/>
      <c r="AW269" s="78"/>
      <c r="AZ269" s="81"/>
      <c r="BB269" s="78"/>
      <c r="BD269" s="78"/>
      <c r="BG269" s="81"/>
      <c r="BI269" s="78"/>
      <c r="BK269" s="78"/>
      <c r="BN269" s="81"/>
      <c r="BP269" s="78"/>
      <c r="BQ269" s="78"/>
      <c r="BV269" s="81"/>
      <c r="BX269" s="78"/>
      <c r="CA269" s="123"/>
      <c r="CC269" s="117"/>
      <c r="CD269" s="118" t="s">
        <v>477</v>
      </c>
      <c r="CE269" s="99" t="s">
        <v>474</v>
      </c>
      <c r="CF269" s="103">
        <f>0.8*0.48</f>
        <v>0.38400000000000001</v>
      </c>
      <c r="CG269" s="99" t="s">
        <v>475</v>
      </c>
      <c r="CH269" s="105">
        <f>SQRT((30%*30%)+(30%+30%))</f>
        <v>0.83066238629180744</v>
      </c>
      <c r="CI269" s="105">
        <f t="shared" ref="CI269:CI270" si="564">SQRT((30%*30%)+(30%+30%))</f>
        <v>0.83066238629180744</v>
      </c>
      <c r="CJ269" s="104" t="s">
        <v>397</v>
      </c>
      <c r="CK269" s="46"/>
      <c r="CL269" s="36"/>
      <c r="CM269" s="36"/>
      <c r="CN269" s="46"/>
      <c r="CO269" s="46"/>
      <c r="CP269" s="46"/>
      <c r="CQ269" s="48"/>
      <c r="CR269" s="46"/>
      <c r="CS269" s="103"/>
      <c r="CT269" s="99"/>
      <c r="CU269" s="48"/>
      <c r="CV269" s="48"/>
      <c r="CW269" s="48"/>
      <c r="CX269" s="46"/>
      <c r="CY269" s="46"/>
      <c r="CZ269" s="48"/>
      <c r="DA269" s="48"/>
      <c r="DB269" s="48"/>
      <c r="DC269" s="48"/>
      <c r="DD269" s="46"/>
      <c r="DE269" s="46"/>
      <c r="DF269" s="48"/>
      <c r="DG269" s="48"/>
      <c r="DH269" s="48"/>
      <c r="DI269" s="49"/>
      <c r="DJ269" s="50"/>
      <c r="DK269" s="50">
        <v>0.35</v>
      </c>
    </row>
    <row r="270" spans="1:115" s="37" customFormat="1" ht="15.75" hidden="1" thickBot="1">
      <c r="A270" s="24"/>
      <c r="X270" s="74"/>
      <c r="AB270" s="75"/>
      <c r="AD270" s="78"/>
      <c r="AE270" s="78"/>
      <c r="AG270" s="78"/>
      <c r="AH270" s="80"/>
      <c r="AJ270" s="81"/>
      <c r="AL270" s="85"/>
      <c r="AM270" s="85"/>
      <c r="AO270" s="78"/>
      <c r="AR270" s="81"/>
      <c r="AW270" s="78"/>
      <c r="AZ270" s="129"/>
      <c r="BA270" s="132"/>
      <c r="BB270" s="78"/>
      <c r="BD270" s="78"/>
      <c r="BG270" s="129"/>
      <c r="BH270" s="132"/>
      <c r="BI270" s="78"/>
      <c r="BK270" s="78"/>
      <c r="BN270" s="81"/>
      <c r="BP270" s="78"/>
      <c r="BQ270" s="78"/>
      <c r="BV270" s="81"/>
      <c r="BX270" s="78"/>
      <c r="CA270" s="123"/>
      <c r="CC270" s="117"/>
      <c r="CD270" s="118" t="s">
        <v>478</v>
      </c>
      <c r="CE270" s="99" t="s">
        <v>474</v>
      </c>
      <c r="CF270" s="103">
        <f>0.2*0.12</f>
        <v>2.4E-2</v>
      </c>
      <c r="CG270" s="99" t="s">
        <v>475</v>
      </c>
      <c r="CH270" s="105">
        <f t="shared" ref="CH270" si="565">SQRT((30%*30%)+(30%+30%))</f>
        <v>0.83066238629180744</v>
      </c>
      <c r="CI270" s="105">
        <f t="shared" si="564"/>
        <v>0.83066238629180744</v>
      </c>
      <c r="CJ270" s="104" t="s">
        <v>397</v>
      </c>
      <c r="CK270" s="46"/>
      <c r="CL270" s="36"/>
      <c r="CM270" s="36"/>
      <c r="CN270" s="46"/>
      <c r="CO270" s="46"/>
      <c r="CP270" s="46"/>
      <c r="CQ270" s="48"/>
      <c r="CR270" s="46"/>
      <c r="CS270" s="103"/>
      <c r="CT270" s="99"/>
      <c r="CU270" s="48"/>
      <c r="CV270" s="48"/>
      <c r="CW270" s="48"/>
      <c r="CX270" s="46"/>
      <c r="CY270" s="46"/>
      <c r="CZ270" s="48"/>
      <c r="DA270" s="48"/>
      <c r="DB270" s="48"/>
      <c r="DC270" s="48"/>
      <c r="DD270" s="46"/>
      <c r="DE270" s="46"/>
      <c r="DF270" s="48"/>
      <c r="DG270" s="48"/>
      <c r="DH270" s="48"/>
      <c r="DI270" s="49"/>
      <c r="DJ270" s="50"/>
      <c r="DK270" s="50">
        <v>0.35</v>
      </c>
    </row>
    <row r="271" spans="1:115" s="37" customFormat="1" ht="15.75" hidden="1" thickBot="1">
      <c r="A271" s="24"/>
      <c r="X271" s="74"/>
      <c r="AB271" s="75"/>
      <c r="AD271" s="78"/>
      <c r="AE271" s="78"/>
      <c r="AG271" s="78"/>
      <c r="AH271" s="80"/>
      <c r="AJ271" s="81"/>
      <c r="AL271" s="85"/>
      <c r="AM271" s="85"/>
      <c r="AO271" s="78"/>
      <c r="AR271" s="81"/>
      <c r="AW271" s="78"/>
      <c r="AZ271" s="81"/>
      <c r="BB271" s="78"/>
      <c r="BD271" s="78"/>
      <c r="BG271" s="81"/>
      <c r="BI271" s="78"/>
      <c r="BK271" s="78"/>
      <c r="BN271" s="81"/>
      <c r="BP271" s="78"/>
      <c r="BQ271" s="78"/>
      <c r="BV271" s="81"/>
      <c r="BX271" s="78"/>
      <c r="CA271" s="123"/>
      <c r="CC271" s="117"/>
      <c r="CD271" s="118" t="s">
        <v>479</v>
      </c>
      <c r="CE271" s="99" t="s">
        <v>474</v>
      </c>
      <c r="CF271" s="103">
        <f>0.8*0.48</f>
        <v>0.38400000000000001</v>
      </c>
      <c r="CG271" s="99" t="s">
        <v>475</v>
      </c>
      <c r="CH271" s="105">
        <f>0.8/0.8</f>
        <v>1</v>
      </c>
      <c r="CI271" s="105">
        <f>1/0.8</f>
        <v>1.25</v>
      </c>
      <c r="CJ271" s="104" t="s">
        <v>397</v>
      </c>
      <c r="CK271" s="46"/>
      <c r="CL271" s="36"/>
      <c r="CM271" s="36"/>
      <c r="CN271" s="46"/>
      <c r="CO271" s="46"/>
      <c r="CP271" s="46"/>
      <c r="CQ271" s="48"/>
      <c r="CR271" s="46"/>
      <c r="CS271" s="103"/>
      <c r="CT271" s="99"/>
      <c r="CU271" s="48"/>
      <c r="CV271" s="48"/>
      <c r="CW271" s="48"/>
      <c r="CX271" s="46"/>
      <c r="CY271" s="46"/>
      <c r="CZ271" s="48"/>
      <c r="DA271" s="48"/>
      <c r="DB271" s="48"/>
      <c r="DC271" s="48"/>
      <c r="DD271" s="46"/>
      <c r="DE271" s="46"/>
      <c r="DF271" s="48"/>
      <c r="DG271" s="48"/>
      <c r="DH271" s="48"/>
      <c r="DI271" s="49"/>
      <c r="DJ271" s="50"/>
      <c r="DK271" s="50">
        <v>0.35</v>
      </c>
    </row>
    <row r="272" spans="1:115" s="37" customFormat="1" ht="15.75" hidden="1" thickBot="1">
      <c r="A272" s="24"/>
      <c r="X272" s="74"/>
      <c r="AB272" s="75"/>
      <c r="AD272" s="78"/>
      <c r="AE272" s="78"/>
      <c r="AG272" s="78"/>
      <c r="AH272" s="80"/>
      <c r="AJ272" s="81"/>
      <c r="AL272" s="85"/>
      <c r="AM272" s="85"/>
      <c r="AO272" s="78"/>
      <c r="AR272" s="81"/>
      <c r="AW272" s="78"/>
      <c r="AZ272" s="81"/>
      <c r="BB272" s="78"/>
      <c r="BD272" s="78"/>
      <c r="BG272" s="81"/>
      <c r="BI272" s="78"/>
      <c r="BK272" s="78"/>
      <c r="BN272" s="81"/>
      <c r="BP272" s="78"/>
      <c r="BQ272" s="78"/>
      <c r="BV272" s="81"/>
      <c r="BX272" s="78"/>
      <c r="CA272" s="123"/>
      <c r="CC272" s="117"/>
      <c r="CD272" s="118" t="s">
        <v>480</v>
      </c>
      <c r="CE272" s="99" t="s">
        <v>481</v>
      </c>
      <c r="CF272" s="103">
        <f>0.03*0.018</f>
        <v>5.399999999999999E-4</v>
      </c>
      <c r="CG272" s="99" t="s">
        <v>482</v>
      </c>
      <c r="CH272" s="105">
        <f>SQRT((10%*10%)+(30%+30%))</f>
        <v>0.78102496759066542</v>
      </c>
      <c r="CI272" s="105">
        <f t="shared" ref="CI272:CI274" si="566">SQRT((10%*10%)+(30%+30%))</f>
        <v>0.78102496759066542</v>
      </c>
      <c r="CJ272" s="104" t="s">
        <v>437</v>
      </c>
      <c r="CK272" s="46"/>
      <c r="CL272" s="36"/>
      <c r="CM272" s="36"/>
      <c r="CN272" s="46"/>
      <c r="CO272" s="46"/>
      <c r="CP272" s="46"/>
      <c r="CQ272" s="48"/>
      <c r="CR272" s="46"/>
      <c r="CS272" s="103"/>
      <c r="CT272" s="99"/>
      <c r="CU272" s="48"/>
      <c r="CV272" s="48"/>
      <c r="CW272" s="48"/>
      <c r="CX272" s="46"/>
      <c r="CY272" s="46"/>
      <c r="CZ272" s="48"/>
      <c r="DA272" s="48"/>
      <c r="DB272" s="48"/>
      <c r="DC272" s="48"/>
      <c r="DD272" s="46"/>
      <c r="DE272" s="46"/>
      <c r="DF272" s="48"/>
      <c r="DG272" s="48"/>
      <c r="DH272" s="48"/>
      <c r="DI272" s="49"/>
      <c r="DJ272" s="50"/>
      <c r="DK272" s="50">
        <v>0.35</v>
      </c>
    </row>
    <row r="273" spans="1:115" s="37" customFormat="1" ht="15.75" hidden="1" thickBot="1">
      <c r="A273" s="24"/>
      <c r="X273" s="74"/>
      <c r="AB273" s="75"/>
      <c r="AD273" s="78"/>
      <c r="AE273" s="78"/>
      <c r="AG273" s="78"/>
      <c r="AH273" s="80"/>
      <c r="AJ273" s="81"/>
      <c r="AL273" s="85"/>
      <c r="AM273" s="85"/>
      <c r="AO273" s="78"/>
      <c r="AR273" s="81"/>
      <c r="AW273" s="78"/>
      <c r="AZ273" s="81"/>
      <c r="BB273" s="78"/>
      <c r="BD273" s="78"/>
      <c r="BG273" s="81"/>
      <c r="BI273" s="78"/>
      <c r="BK273" s="78"/>
      <c r="BN273" s="81"/>
      <c r="BP273" s="78"/>
      <c r="BQ273" s="78"/>
      <c r="BV273" s="81"/>
      <c r="BX273" s="78"/>
      <c r="CA273" s="123"/>
      <c r="CC273" s="117"/>
      <c r="CD273" s="118" t="s">
        <v>483</v>
      </c>
      <c r="CE273" s="99" t="s">
        <v>481</v>
      </c>
      <c r="CF273" s="103">
        <f>0.8*0.48</f>
        <v>0.38400000000000001</v>
      </c>
      <c r="CG273" s="99" t="s">
        <v>482</v>
      </c>
      <c r="CH273" s="105">
        <f t="shared" ref="CH273:CH274" si="567">SQRT((10%*10%)+(30%+30%))</f>
        <v>0.78102496759066542</v>
      </c>
      <c r="CI273" s="105">
        <f t="shared" si="566"/>
        <v>0.78102496759066542</v>
      </c>
      <c r="CJ273" s="104" t="s">
        <v>437</v>
      </c>
      <c r="CK273" s="46"/>
      <c r="CL273" s="36"/>
      <c r="CM273" s="36"/>
      <c r="CN273" s="46"/>
      <c r="CO273" s="46"/>
      <c r="CP273" s="46"/>
      <c r="CQ273" s="48"/>
      <c r="CR273" s="46"/>
      <c r="CS273" s="103"/>
      <c r="CT273" s="99"/>
      <c r="CU273" s="48"/>
      <c r="CV273" s="48"/>
      <c r="CW273" s="48"/>
      <c r="CX273" s="46"/>
      <c r="CY273" s="46"/>
      <c r="CZ273" s="48"/>
      <c r="DA273" s="48"/>
      <c r="DB273" s="48"/>
      <c r="DC273" s="48"/>
      <c r="DD273" s="46"/>
      <c r="DE273" s="46"/>
      <c r="DF273" s="48"/>
      <c r="DG273" s="48"/>
      <c r="DH273" s="48"/>
      <c r="DI273" s="49"/>
      <c r="DJ273" s="50"/>
      <c r="DK273" s="50">
        <v>0.35</v>
      </c>
    </row>
    <row r="274" spans="1:115" s="37" customFormat="1" ht="15.75" hidden="1" thickBot="1">
      <c r="A274" s="24"/>
      <c r="X274" s="74"/>
      <c r="AB274" s="75"/>
      <c r="AD274" s="78"/>
      <c r="AE274" s="78"/>
      <c r="AG274" s="78"/>
      <c r="AH274" s="80"/>
      <c r="AJ274" s="81"/>
      <c r="AL274" s="85"/>
      <c r="AM274" s="85"/>
      <c r="AO274" s="78"/>
      <c r="AR274" s="81"/>
      <c r="AW274" s="78"/>
      <c r="AZ274" s="81"/>
      <c r="BB274" s="78"/>
      <c r="BD274" s="78"/>
      <c r="BG274" s="81"/>
      <c r="BI274" s="78"/>
      <c r="BK274" s="78"/>
      <c r="BN274" s="81"/>
      <c r="BP274" s="78"/>
      <c r="BQ274" s="78"/>
      <c r="BV274" s="81"/>
      <c r="BX274" s="78"/>
      <c r="CA274" s="123"/>
      <c r="CB274" s="38"/>
      <c r="CC274" s="117"/>
      <c r="CD274" s="118" t="s">
        <v>484</v>
      </c>
      <c r="CE274" s="99" t="s">
        <v>481</v>
      </c>
      <c r="CF274" s="103">
        <f>0.8*0.48</f>
        <v>0.38400000000000001</v>
      </c>
      <c r="CG274" s="99" t="s">
        <v>482</v>
      </c>
      <c r="CH274" s="105">
        <f t="shared" si="567"/>
        <v>0.78102496759066542</v>
      </c>
      <c r="CI274" s="105">
        <f t="shared" si="566"/>
        <v>0.78102496759066542</v>
      </c>
      <c r="CJ274" s="104" t="s">
        <v>437</v>
      </c>
      <c r="CK274" s="46"/>
      <c r="CL274" s="36"/>
      <c r="CM274" s="36"/>
      <c r="CN274" s="46"/>
      <c r="CO274" s="46"/>
      <c r="CP274" s="46"/>
      <c r="CQ274" s="48"/>
      <c r="CR274" s="46"/>
      <c r="CS274" s="103"/>
      <c r="CT274" s="99"/>
      <c r="CU274" s="48"/>
      <c r="CV274" s="48"/>
      <c r="CW274" s="48"/>
      <c r="CX274" s="46"/>
      <c r="CY274" s="46"/>
      <c r="CZ274" s="48"/>
      <c r="DA274" s="48"/>
      <c r="DB274" s="48"/>
      <c r="DC274" s="48"/>
      <c r="DD274" s="46"/>
      <c r="DE274" s="46"/>
      <c r="DF274" s="48"/>
      <c r="DG274" s="48"/>
      <c r="DH274" s="48"/>
      <c r="DI274" s="49"/>
      <c r="DJ274" s="50"/>
      <c r="DK274" s="50">
        <v>0.35</v>
      </c>
    </row>
    <row r="275" spans="1:115" s="37" customFormat="1" ht="15.75" hidden="1" thickBot="1">
      <c r="A275" s="24"/>
      <c r="X275" s="74"/>
      <c r="AB275" s="75"/>
      <c r="AD275" s="78"/>
      <c r="AE275" s="78"/>
      <c r="AG275" s="78"/>
      <c r="AH275" s="80"/>
      <c r="AJ275" s="81"/>
      <c r="AL275" s="85"/>
      <c r="AM275" s="85"/>
      <c r="AO275" s="78"/>
      <c r="AR275" s="81"/>
      <c r="AW275" s="78"/>
      <c r="AZ275" s="81"/>
      <c r="BB275" s="78"/>
      <c r="BD275" s="78"/>
      <c r="BG275" s="81"/>
      <c r="BI275" s="78"/>
      <c r="BK275" s="78"/>
      <c r="BN275" s="81"/>
      <c r="BP275" s="78"/>
      <c r="BQ275" s="78"/>
      <c r="BV275" s="81"/>
      <c r="BX275" s="78"/>
      <c r="CA275" s="123"/>
      <c r="CC275" s="117"/>
      <c r="CD275" s="118" t="s">
        <v>485</v>
      </c>
      <c r="CE275" s="99" t="s">
        <v>481</v>
      </c>
      <c r="CF275" s="103">
        <f>0.2*0.12</f>
        <v>2.4E-2</v>
      </c>
      <c r="CG275" s="99" t="s">
        <v>482</v>
      </c>
      <c r="CH275" s="105">
        <f>SQRT((30%*30%)+(30%+30%))</f>
        <v>0.83066238629180744</v>
      </c>
      <c r="CI275" s="105">
        <f t="shared" ref="CI275:CI276" si="568">SQRT((30%*30%)+(30%+30%))</f>
        <v>0.83066238629180744</v>
      </c>
      <c r="CJ275" s="104" t="s">
        <v>437</v>
      </c>
      <c r="CK275" s="46"/>
      <c r="CL275" s="36"/>
      <c r="CM275" s="36"/>
      <c r="CN275" s="46"/>
      <c r="CO275" s="46"/>
      <c r="CP275" s="46"/>
      <c r="CQ275" s="48"/>
      <c r="CR275" s="46"/>
      <c r="CS275" s="103"/>
      <c r="CT275" s="99"/>
      <c r="CU275" s="48"/>
      <c r="CV275" s="48"/>
      <c r="CW275" s="48"/>
      <c r="CX275" s="46"/>
      <c r="CY275" s="46"/>
      <c r="CZ275" s="48"/>
      <c r="DA275" s="48"/>
      <c r="DB275" s="48"/>
      <c r="DC275" s="48"/>
      <c r="DD275" s="46"/>
      <c r="DE275" s="46"/>
      <c r="DF275" s="48"/>
      <c r="DG275" s="48"/>
      <c r="DH275" s="48"/>
      <c r="DI275" s="49"/>
      <c r="DJ275" s="50"/>
      <c r="DK275" s="50">
        <v>0.35</v>
      </c>
    </row>
    <row r="276" spans="1:115" s="37" customFormat="1" ht="15.75" hidden="1" thickBot="1">
      <c r="A276" s="24"/>
      <c r="X276" s="74"/>
      <c r="AB276" s="75"/>
      <c r="AC276" s="38"/>
      <c r="AD276" s="123"/>
      <c r="AE276" s="123"/>
      <c r="AF276" s="38"/>
      <c r="AG276" s="123"/>
      <c r="AH276" s="124"/>
      <c r="AI276" s="38"/>
      <c r="AJ276" s="125"/>
      <c r="AK276" s="38"/>
      <c r="AL276" s="126"/>
      <c r="AM276" s="126"/>
      <c r="AN276" s="38"/>
      <c r="AO276" s="123"/>
      <c r="AP276" s="38"/>
      <c r="AQ276" s="38"/>
      <c r="AR276" s="125"/>
      <c r="AS276" s="38"/>
      <c r="AT276" s="38"/>
      <c r="AU276" s="38"/>
      <c r="AV276" s="38"/>
      <c r="AW276" s="123"/>
      <c r="AX276" s="38"/>
      <c r="AY276" s="38"/>
      <c r="AZ276" s="125"/>
      <c r="BA276" s="38"/>
      <c r="BB276" s="38"/>
      <c r="BC276" s="38"/>
      <c r="BD276" s="38"/>
      <c r="BE276" s="38"/>
      <c r="BF276" s="38"/>
      <c r="BG276" s="125"/>
      <c r="BH276" s="38"/>
      <c r="BI276" s="38"/>
      <c r="BJ276" s="38"/>
      <c r="BK276" s="38"/>
      <c r="BL276" s="38"/>
      <c r="BM276" s="38"/>
      <c r="BN276" s="125"/>
      <c r="BO276" s="38"/>
      <c r="BP276" s="38"/>
      <c r="BQ276" s="38"/>
      <c r="BR276" s="38"/>
      <c r="BS276" s="38"/>
      <c r="BT276" s="38"/>
      <c r="BU276" s="38"/>
      <c r="BV276" s="125"/>
      <c r="BW276" s="38"/>
      <c r="BX276" s="38"/>
      <c r="BY276" s="38"/>
      <c r="BZ276" s="38"/>
      <c r="CA276" s="38"/>
      <c r="CB276" s="124"/>
      <c r="CC276" s="117"/>
      <c r="CD276" s="118" t="s">
        <v>486</v>
      </c>
      <c r="CE276" s="99" t="s">
        <v>481</v>
      </c>
      <c r="CF276" s="103">
        <f>0.8*0.48</f>
        <v>0.38400000000000001</v>
      </c>
      <c r="CG276" s="99" t="s">
        <v>482</v>
      </c>
      <c r="CH276" s="105">
        <f t="shared" ref="CH276" si="569">SQRT((30%*30%)+(30%+30%))</f>
        <v>0.83066238629180744</v>
      </c>
      <c r="CI276" s="105">
        <f t="shared" si="568"/>
        <v>0.83066238629180744</v>
      </c>
      <c r="CJ276" s="104" t="s">
        <v>437</v>
      </c>
      <c r="CK276" s="46"/>
      <c r="CL276" s="36"/>
      <c r="CM276" s="36"/>
      <c r="CN276" s="46"/>
      <c r="CO276" s="46"/>
      <c r="CP276" s="46"/>
      <c r="CQ276" s="48"/>
      <c r="CR276" s="46"/>
      <c r="CS276" s="103"/>
      <c r="CT276" s="99"/>
      <c r="CU276" s="48"/>
      <c r="CV276" s="48"/>
      <c r="CW276" s="48"/>
      <c r="CX276" s="46"/>
      <c r="CY276" s="46"/>
      <c r="CZ276" s="48"/>
      <c r="DA276" s="48"/>
      <c r="DB276" s="48"/>
      <c r="DC276" s="48"/>
      <c r="DD276" s="46"/>
      <c r="DE276" s="46"/>
      <c r="DF276" s="48"/>
      <c r="DG276" s="48"/>
      <c r="DH276" s="48"/>
      <c r="DI276" s="49"/>
      <c r="DJ276" s="50"/>
      <c r="DK276" s="50">
        <v>0.35</v>
      </c>
    </row>
    <row r="277" spans="1:115" s="37" customFormat="1" ht="15.75" hidden="1" thickBot="1">
      <c r="A277" s="24"/>
      <c r="X277" s="74"/>
      <c r="AB277" s="75"/>
      <c r="AC277" s="38"/>
      <c r="AD277" s="123"/>
      <c r="AE277" s="123"/>
      <c r="AF277" s="38"/>
      <c r="AG277" s="123"/>
      <c r="AH277" s="124"/>
      <c r="AI277" s="38"/>
      <c r="AJ277" s="125"/>
      <c r="AK277" s="38"/>
      <c r="AL277" s="126"/>
      <c r="AM277" s="126"/>
      <c r="AN277" s="38"/>
      <c r="AO277" s="123"/>
      <c r="AP277" s="38"/>
      <c r="AQ277" s="38"/>
      <c r="AR277" s="125"/>
      <c r="AS277" s="38"/>
      <c r="AT277" s="38"/>
      <c r="AU277" s="38"/>
      <c r="AV277" s="38"/>
      <c r="AW277" s="123"/>
      <c r="AX277" s="38"/>
      <c r="AY277" s="38"/>
      <c r="AZ277" s="125"/>
      <c r="BA277" s="38"/>
      <c r="BB277" s="38"/>
      <c r="BC277" s="38"/>
      <c r="BD277" s="38"/>
      <c r="BE277" s="38"/>
      <c r="BF277" s="38"/>
      <c r="BG277" s="125"/>
      <c r="BH277" s="38"/>
      <c r="BI277" s="38"/>
      <c r="BJ277" s="38"/>
      <c r="BK277" s="38"/>
      <c r="BL277" s="38"/>
      <c r="BM277" s="38"/>
      <c r="BN277" s="125"/>
      <c r="BO277" s="38"/>
      <c r="BP277" s="38"/>
      <c r="BQ277" s="38"/>
      <c r="BR277" s="38"/>
      <c r="BS277" s="38"/>
      <c r="BT277" s="38"/>
      <c r="BU277" s="38"/>
      <c r="BV277" s="125"/>
      <c r="BW277" s="38"/>
      <c r="BX277" s="38"/>
      <c r="BY277" s="38"/>
      <c r="BZ277" s="38"/>
      <c r="CA277" s="38" t="s">
        <v>487</v>
      </c>
      <c r="CB277" s="124">
        <f>BB280</f>
        <v>5.2590000000000005E-2</v>
      </c>
      <c r="CC277" s="117"/>
      <c r="CD277" s="118" t="s">
        <v>488</v>
      </c>
      <c r="CE277" s="99" t="s">
        <v>481</v>
      </c>
      <c r="CF277" s="103">
        <f>0.5*0.3</f>
        <v>0.15</v>
      </c>
      <c r="CG277" s="99" t="s">
        <v>482</v>
      </c>
      <c r="CH277" s="105">
        <f t="shared" ref="CH277:CI277" si="570">SQRT((10%*10%)+(30%+30%))</f>
        <v>0.78102496759066542</v>
      </c>
      <c r="CI277" s="105">
        <f t="shared" si="570"/>
        <v>0.78102496759066542</v>
      </c>
      <c r="CJ277" s="104" t="s">
        <v>437</v>
      </c>
      <c r="CK277" s="46"/>
      <c r="CL277" s="36"/>
      <c r="CM277" s="36"/>
      <c r="CN277" s="46"/>
      <c r="CO277" s="46"/>
      <c r="CP277" s="46"/>
      <c r="CQ277" s="48"/>
      <c r="CR277" s="46"/>
      <c r="CS277" s="103"/>
      <c r="CT277" s="99"/>
      <c r="CU277" s="48"/>
      <c r="CV277" s="48"/>
      <c r="CW277" s="48"/>
      <c r="CX277" s="46"/>
      <c r="CY277" s="46"/>
      <c r="CZ277" s="48"/>
      <c r="DA277" s="48"/>
      <c r="DB277" s="48"/>
      <c r="DC277" s="48"/>
      <c r="DD277" s="46"/>
      <c r="DE277" s="46"/>
      <c r="DF277" s="48"/>
      <c r="DG277" s="48"/>
      <c r="DH277" s="48"/>
      <c r="DI277" s="49"/>
      <c r="DJ277" s="50"/>
      <c r="DK277" s="50">
        <v>0.35</v>
      </c>
    </row>
    <row r="278" spans="1:115" s="38" customFormat="1" ht="28.15" hidden="1" thickBot="1">
      <c r="A278" s="25"/>
      <c r="X278" s="121"/>
      <c r="AB278" s="122"/>
      <c r="AD278" s="123"/>
      <c r="AE278" s="123"/>
      <c r="AG278" s="123"/>
      <c r="AH278" s="124"/>
      <c r="AJ278" s="125"/>
      <c r="AL278" s="126"/>
      <c r="AM278" s="126"/>
      <c r="AO278" s="123"/>
      <c r="AR278" s="125"/>
      <c r="AW278" s="123"/>
      <c r="AZ278" s="125"/>
      <c r="BB278" s="38" t="s">
        <v>489</v>
      </c>
      <c r="BG278" s="125"/>
      <c r="BI278" s="38" t="s">
        <v>489</v>
      </c>
      <c r="BN278" s="125"/>
      <c r="BV278" s="125"/>
      <c r="CA278" s="38" t="s">
        <v>490</v>
      </c>
      <c r="CB278" s="124">
        <f>BC280</f>
        <v>2.6295000000000002E-2</v>
      </c>
      <c r="CC278" s="117" t="s">
        <v>491</v>
      </c>
      <c r="CD278" s="118" t="s">
        <v>492</v>
      </c>
      <c r="CE278" s="99" t="s">
        <v>474</v>
      </c>
      <c r="CF278" s="103">
        <v>0.2</v>
      </c>
      <c r="CG278" s="99" t="s">
        <v>475</v>
      </c>
      <c r="CH278" s="105">
        <v>0.05</v>
      </c>
      <c r="CI278" s="105">
        <v>0.39</v>
      </c>
      <c r="CJ278" s="104" t="s">
        <v>385</v>
      </c>
      <c r="CK278" s="144"/>
      <c r="CN278" s="144"/>
      <c r="CO278" s="144"/>
      <c r="CP278" s="144"/>
      <c r="CQ278" s="145"/>
      <c r="CR278" s="144"/>
      <c r="CS278" s="102">
        <f>0.25*0.9*25</f>
        <v>5.625</v>
      </c>
      <c r="CT278" s="147" t="s">
        <v>493</v>
      </c>
      <c r="CU278" s="145"/>
      <c r="CV278" s="145"/>
      <c r="CW278" s="145"/>
      <c r="CX278" s="144"/>
      <c r="CY278" s="144"/>
      <c r="CZ278" s="145"/>
      <c r="DA278" s="145"/>
      <c r="DB278" s="145"/>
      <c r="DC278" s="145"/>
      <c r="DD278" s="144"/>
      <c r="DE278" s="144"/>
      <c r="DF278" s="145"/>
      <c r="DG278" s="145"/>
      <c r="DH278" s="145"/>
      <c r="DI278" s="145"/>
      <c r="DJ278" s="50">
        <v>0.05</v>
      </c>
      <c r="DK278" s="50">
        <v>0.35</v>
      </c>
    </row>
    <row r="279" spans="1:115" s="38" customFormat="1" ht="28.15" hidden="1" thickBot="1">
      <c r="A279" s="25"/>
      <c r="X279" s="121"/>
      <c r="AB279" s="122"/>
      <c r="AC279" s="37"/>
      <c r="AD279" s="78"/>
      <c r="AE279" s="78"/>
      <c r="AF279" s="37"/>
      <c r="AG279" s="78"/>
      <c r="AH279" s="80"/>
      <c r="AI279" s="37"/>
      <c r="AJ279" s="81"/>
      <c r="AK279" s="37"/>
      <c r="AL279" s="85"/>
      <c r="AM279" s="85"/>
      <c r="AN279" s="37"/>
      <c r="AO279" s="78" t="s">
        <v>494</v>
      </c>
      <c r="AP279" s="37" t="s">
        <v>495</v>
      </c>
      <c r="AQ279" s="37" t="s">
        <v>496</v>
      </c>
      <c r="AR279" s="81" t="s">
        <v>497</v>
      </c>
      <c r="AS279" s="37" t="s">
        <v>498</v>
      </c>
      <c r="AT279" s="37"/>
      <c r="AU279" s="37"/>
      <c r="AV279" s="37"/>
      <c r="AW279" s="78"/>
      <c r="AX279" s="37"/>
      <c r="AY279" s="127"/>
      <c r="AZ279" s="130" t="s">
        <v>499</v>
      </c>
      <c r="BA279" s="133" t="s">
        <v>499</v>
      </c>
      <c r="BB279" s="127" t="s">
        <v>500</v>
      </c>
      <c r="BC279" s="127" t="s">
        <v>501</v>
      </c>
      <c r="BD279" s="127" t="s">
        <v>502</v>
      </c>
      <c r="BE279" s="37"/>
      <c r="BF279" s="127"/>
      <c r="BG279" s="130" t="s">
        <v>499</v>
      </c>
      <c r="BH279" s="133" t="s">
        <v>499</v>
      </c>
      <c r="BI279" s="127" t="s">
        <v>500</v>
      </c>
      <c r="BJ279" s="127" t="s">
        <v>501</v>
      </c>
      <c r="BK279" s="127" t="s">
        <v>502</v>
      </c>
      <c r="BL279" s="127" t="s">
        <v>503</v>
      </c>
      <c r="BM279" s="127" t="s">
        <v>504</v>
      </c>
      <c r="BN279" s="138" t="s">
        <v>505</v>
      </c>
      <c r="BO279" s="139" t="s">
        <v>505</v>
      </c>
      <c r="BP279" s="140" t="s">
        <v>506</v>
      </c>
      <c r="BQ279" s="140" t="s">
        <v>507</v>
      </c>
      <c r="BR279" s="37"/>
      <c r="BS279" s="37"/>
      <c r="BT279" s="127" t="s">
        <v>503</v>
      </c>
      <c r="BU279" s="127" t="s">
        <v>504</v>
      </c>
      <c r="BV279" s="138" t="s">
        <v>505</v>
      </c>
      <c r="BW279" s="139" t="s">
        <v>505</v>
      </c>
      <c r="BX279" s="140" t="s">
        <v>507</v>
      </c>
      <c r="BY279" s="37"/>
      <c r="BZ279" s="37"/>
      <c r="CA279" s="38" t="s">
        <v>508</v>
      </c>
      <c r="CB279" s="124">
        <f>BD280</f>
        <v>3.7864800000000004E-2</v>
      </c>
      <c r="CC279" s="117" t="s">
        <v>491</v>
      </c>
      <c r="CD279" s="118" t="s">
        <v>509</v>
      </c>
      <c r="CE279" s="99" t="s">
        <v>481</v>
      </c>
      <c r="CF279" s="103">
        <v>0.48</v>
      </c>
      <c r="CG279" s="99" t="s">
        <v>482</v>
      </c>
      <c r="CH279" s="105">
        <v>0.05</v>
      </c>
      <c r="CI279" s="105">
        <v>0.32</v>
      </c>
      <c r="CJ279" s="104" t="s">
        <v>385</v>
      </c>
      <c r="CK279" s="144"/>
      <c r="CN279" s="144"/>
      <c r="CO279" s="144"/>
      <c r="CP279" s="144"/>
      <c r="CQ279" s="145"/>
      <c r="CR279" s="144"/>
      <c r="CS279" s="102">
        <f>0.25*0.9*25</f>
        <v>5.625</v>
      </c>
      <c r="CT279" s="147" t="s">
        <v>493</v>
      </c>
      <c r="CU279" s="145"/>
      <c r="CV279" s="145"/>
      <c r="CW279" s="145"/>
      <c r="CX279" s="144"/>
      <c r="CY279" s="144"/>
      <c r="CZ279" s="145"/>
      <c r="DA279" s="145"/>
      <c r="DB279" s="145"/>
      <c r="DC279" s="145"/>
      <c r="DD279" s="144"/>
      <c r="DE279" s="144"/>
      <c r="DF279" s="145"/>
      <c r="DG279" s="145"/>
      <c r="DH279" s="145"/>
      <c r="DI279" s="145"/>
      <c r="DJ279" s="50">
        <v>0.05</v>
      </c>
      <c r="DK279" s="50">
        <v>0.35</v>
      </c>
    </row>
    <row r="280" spans="1:115" s="38" customFormat="1" ht="15.75" hidden="1" thickBot="1">
      <c r="A280" s="25"/>
      <c r="X280" s="121"/>
      <c r="AB280" s="122"/>
      <c r="AC280" s="37"/>
      <c r="AD280" s="78"/>
      <c r="AE280" s="78"/>
      <c r="AF280" s="37"/>
      <c r="AG280" s="78"/>
      <c r="AH280" s="80"/>
      <c r="AI280" s="37"/>
      <c r="AJ280" s="81"/>
      <c r="AK280" s="37"/>
      <c r="AL280" s="85"/>
      <c r="AM280" s="85"/>
      <c r="AN280" s="127" t="s">
        <v>510</v>
      </c>
      <c r="AO280" s="78">
        <f>(0.449*40%)+(0.171*90%)+(0.047*85%)+(0.026*80%)+(0.007*84%)+(0.108*100%)+(0.029*100%)+(0.033*100%)+(0.13*90%)</f>
        <v>0.68713000000000002</v>
      </c>
      <c r="AP280" s="78">
        <f>(0.449*38%)+(0.171*46%)+(0.047*50%)+(0.026*50%)+(0.007*67%)+(0.108*75%)+(0.029*0%)+(0.033*0%)+(0.013*3%)</f>
        <v>0.37186000000000008</v>
      </c>
      <c r="AQ280" s="78">
        <f>(0.449*0%)+(0.171*1%)+(0.047*0%)+(0.026*20%)+(0.007*20%)+(0.108*100%)+(0.029*0%)+(0.033*0%)+(0.013*100%)</f>
        <v>0.12931000000000001</v>
      </c>
      <c r="AR280" s="81">
        <v>1</v>
      </c>
      <c r="AS280" s="128">
        <f t="shared" ref="AS280:AS285" si="571">AO280*AP280*AQ280*AR280*44/12</f>
        <v>0.12114958123531271</v>
      </c>
      <c r="AT280" s="37"/>
      <c r="AU280" s="37"/>
      <c r="AV280" s="37"/>
      <c r="AW280" s="78"/>
      <c r="AX280" s="37"/>
      <c r="AY280" s="127" t="s">
        <v>510</v>
      </c>
      <c r="AZ280" s="131" t="s">
        <v>511</v>
      </c>
      <c r="BA280" s="134" t="s">
        <v>511</v>
      </c>
      <c r="BB280" s="126">
        <f>((((0.672*0.15)+(0.126*0.4)+(0.003*0.43)+(0.022*0.24)+(0*0.39))*0.5*1)*0.5*(16/12))*(1-0)</f>
        <v>5.2590000000000005E-2</v>
      </c>
      <c r="BC280" s="126">
        <f>((((0.672*0.15)+(0.126*0.4)+(0.003*0.43)+(0.022*0.24)+(0*0.39))*0.5*0.5)*0.5*(16/12))*(1-0)</f>
        <v>2.6295000000000002E-2</v>
      </c>
      <c r="BD280" s="126">
        <f>((((0.672*0.15)+(0.126*0.4)+(0.003*0.43)+(0.022*0.24)+(0*0.39))*0.5*0.8)*0.5*(16/12))*(1-0.1)</f>
        <v>3.7864800000000004E-2</v>
      </c>
      <c r="BE280" s="37"/>
      <c r="BF280" s="127" t="s">
        <v>510</v>
      </c>
      <c r="BG280" s="131" t="s">
        <v>511</v>
      </c>
      <c r="BH280" s="134" t="s">
        <v>511</v>
      </c>
      <c r="BI280" s="126">
        <f>((((0.672*0.15)+(0.126*0.4)+(0.003*0.43)+(0.022*0.24)+(0*0.39))*0.5*1)*0.5*(16/12))*(1-0)</f>
        <v>5.2590000000000005E-2</v>
      </c>
      <c r="BJ280" s="126">
        <f>((((0.672*0.15)+(0.126*0.4)+(0.003*0.43)+(0.022*0.24)+(0*0.39))*0.5*0.5)*0.5*(16/12))*(1-0)</f>
        <v>2.6295000000000002E-2</v>
      </c>
      <c r="BK280" s="126">
        <f>((((0.672*0.15)+(0.126*0.4)+(0.003*0.43)+(0.022*0.24)+(0*0.39))*0.5*0.8)*0.5*(16/12))*(1-0.1)</f>
        <v>3.7864800000000004E-2</v>
      </c>
      <c r="BL280" s="126">
        <f>((((0.672*0.15)+(0.126*0.4)+(0.003*0.43)+(0.022*0.24)+(0*0.39))*0.5*0.4)*0.5*(16/12))*(1-0.1)</f>
        <v>1.8932400000000002E-2</v>
      </c>
      <c r="BM280" s="126">
        <f>((((0.672*0.15)+(0.126*0.4)+(0.003*0.43)+(0.022*0.24)+(0*0.39))*0.5*0.6)*0.5*(16/12))*(1-0.1)</f>
        <v>2.83986E-2</v>
      </c>
      <c r="BN280" s="129">
        <f t="shared" ref="BN280:BN289" si="572">AVERAGE(BA280:BL280)</f>
        <v>3.6061714285714294E-2</v>
      </c>
      <c r="BO280" s="141">
        <f t="shared" ref="BO280:BO289" si="573">AVERAGE(BB280:BM280)</f>
        <v>3.5103825000000005E-2</v>
      </c>
      <c r="BP280" s="141">
        <f t="shared" ref="BP280:BP289" si="574">STDEV(BB280:BM280)</f>
        <v>1.246964556006188E-2</v>
      </c>
      <c r="BQ280" s="137">
        <f t="shared" ref="BQ280:BQ289" si="575">1-((BO280-((BP280*2.78)/(SQRT(5))))/BO280)</f>
        <v>0.44163090976440589</v>
      </c>
      <c r="BR280" s="37"/>
      <c r="BS280" s="37"/>
      <c r="BT280" s="126">
        <f>((((0.449*0.15)+(0.171*0.4)+(0.047*0.43)+(0.026*0.24)+(0.007*0.39))*0.5*0.4)*0.5*(16/12))*(1-0.1)</f>
        <v>1.9791599999999999E-2</v>
      </c>
      <c r="BU280" s="126">
        <f>((((0.449*0.15)+(0.171*0.4)+(0.047*0.43)+(0.026*0.24)+(0.007*0.39))*0.5*0.6)*0.5*(16/12))*(1-0.1)</f>
        <v>2.9687399999999996E-2</v>
      </c>
      <c r="BV280" s="129">
        <f t="shared" ref="BV280:BV289" si="576">AVERAGE(BP280:BT280)</f>
        <v>0.15796405177482259</v>
      </c>
      <c r="BW280" s="141">
        <f t="shared" ref="BW280:BW289" si="577">AVERAGE(BQ280:BU280)</f>
        <v>0.16370330325480195</v>
      </c>
      <c r="BX280" s="137" t="e">
        <f>1-((BW280-((#REF!*2.78)/(SQRT(5))))/BW280)</f>
        <v>#REF!</v>
      </c>
      <c r="BY280" s="37"/>
      <c r="BZ280" s="37"/>
      <c r="CA280" s="38" t="s">
        <v>512</v>
      </c>
      <c r="CB280" s="124">
        <f>BL280</f>
        <v>1.8932400000000002E-2</v>
      </c>
      <c r="CC280" s="117" t="s">
        <v>513</v>
      </c>
      <c r="CD280" s="118" t="s">
        <v>514</v>
      </c>
      <c r="CE280" s="99" t="s">
        <v>515</v>
      </c>
      <c r="CF280" s="142">
        <f>BB280</f>
        <v>5.2590000000000005E-2</v>
      </c>
      <c r="CG280" s="99" t="s">
        <v>516</v>
      </c>
      <c r="CH280" s="105">
        <v>0.05</v>
      </c>
      <c r="CI280" s="105">
        <v>0.3</v>
      </c>
      <c r="CJ280" s="104" t="s">
        <v>437</v>
      </c>
      <c r="CK280" s="144"/>
      <c r="CN280" s="144"/>
      <c r="CO280" s="144"/>
      <c r="CP280" s="144"/>
      <c r="CQ280" s="145"/>
      <c r="CR280" s="144"/>
      <c r="CS280" s="102"/>
      <c r="CT280" s="147"/>
      <c r="CU280" s="145"/>
      <c r="CV280" s="145"/>
      <c r="CW280" s="145"/>
      <c r="CX280" s="144"/>
      <c r="CY280" s="144"/>
      <c r="CZ280" s="145"/>
      <c r="DA280" s="145"/>
      <c r="DB280" s="145"/>
      <c r="DC280" s="145"/>
      <c r="DD280" s="144"/>
      <c r="DE280" s="144"/>
      <c r="DF280" s="145"/>
      <c r="DG280" s="145"/>
      <c r="DH280" s="145"/>
      <c r="DI280" s="145"/>
      <c r="DJ280" s="50">
        <v>0.28999999999999998</v>
      </c>
      <c r="DK280" s="50">
        <v>0.35</v>
      </c>
    </row>
    <row r="281" spans="1:115" s="38" customFormat="1" ht="15.75" hidden="1" thickBot="1">
      <c r="A281" s="25"/>
      <c r="X281" s="121"/>
      <c r="AB281" s="122"/>
      <c r="AC281" s="37"/>
      <c r="AD281" s="78"/>
      <c r="AE281" s="78"/>
      <c r="AF281" s="37"/>
      <c r="AG281" s="78"/>
      <c r="AH281" s="80"/>
      <c r="AI281" s="37"/>
      <c r="AJ281" s="81"/>
      <c r="AK281" s="37"/>
      <c r="AL281" s="85"/>
      <c r="AM281" s="85"/>
      <c r="AN281" s="127" t="s">
        <v>517</v>
      </c>
      <c r="AO281" s="78">
        <f>1-0.824</f>
        <v>0.17600000000000005</v>
      </c>
      <c r="AP281" s="37">
        <v>0.5</v>
      </c>
      <c r="AQ281" s="37">
        <v>0</v>
      </c>
      <c r="AR281" s="81">
        <v>1</v>
      </c>
      <c r="AS281" s="128">
        <f t="shared" si="571"/>
        <v>0</v>
      </c>
      <c r="AT281" s="37"/>
      <c r="AU281" s="37"/>
      <c r="AV281" s="37"/>
      <c r="AW281" s="78"/>
      <c r="AX281" s="37"/>
      <c r="AY281" s="127" t="s">
        <v>517</v>
      </c>
      <c r="AZ281" s="131">
        <v>0.05</v>
      </c>
      <c r="BA281" s="134">
        <v>0.05</v>
      </c>
      <c r="BB281" s="126">
        <f t="shared" ref="BB281:BB289" si="578">((BA281*0.5*1)*0.5*(16/12))*(1-0)</f>
        <v>1.6666666666666666E-2</v>
      </c>
      <c r="BC281" s="126">
        <f t="shared" ref="BC281:BC289" si="579">((BA281*0.5*0.5)*0.5*(16/12))*(1-0)</f>
        <v>8.3333333333333332E-3</v>
      </c>
      <c r="BD281" s="126">
        <f t="shared" ref="BD281:BD289" si="580">((BA281*0.5*0.8)*0.5*(16/12))*(1-0.1)</f>
        <v>1.2000000000000002E-2</v>
      </c>
      <c r="BE281" s="37"/>
      <c r="BF281" s="127" t="s">
        <v>517</v>
      </c>
      <c r="BG281" s="131">
        <v>0.05</v>
      </c>
      <c r="BH281" s="134">
        <v>0.05</v>
      </c>
      <c r="BI281" s="126">
        <f t="shared" ref="BI281:BI289" si="581">((BH281*0.5*1)*0.5*(16/12))*(1-0)</f>
        <v>1.6666666666666666E-2</v>
      </c>
      <c r="BJ281" s="126">
        <f t="shared" ref="BJ281:BJ289" si="582">((BH281*0.5*0.5)*0.5*(16/12))*(1-0)</f>
        <v>8.3333333333333332E-3</v>
      </c>
      <c r="BK281" s="126">
        <f t="shared" ref="BK281:BK289" si="583">((BH281*0.5*0.8)*0.5*(16/12))*(1-0.1)</f>
        <v>1.2000000000000002E-2</v>
      </c>
      <c r="BL281" s="126">
        <f t="shared" ref="BL281:BL289" si="584">((BA281*0.5*0.4)*0.5*(16/12))*(1-0.1)</f>
        <v>6.000000000000001E-3</v>
      </c>
      <c r="BM281" s="126">
        <f t="shared" ref="BM281:BM289" si="585">((BA281*0.5*0.6)*0.5*(16/12))*(1-0.1)</f>
        <v>8.9999999999999993E-3</v>
      </c>
      <c r="BN281" s="129">
        <f t="shared" si="572"/>
        <v>2.3E-2</v>
      </c>
      <c r="BO281" s="141">
        <f t="shared" si="573"/>
        <v>1.8900000000000004E-2</v>
      </c>
      <c r="BP281" s="141">
        <f t="shared" si="574"/>
        <v>1.6757566929083593E-2</v>
      </c>
      <c r="BQ281" s="137">
        <f t="shared" si="575"/>
        <v>1.1023232109925354</v>
      </c>
      <c r="BR281" s="37"/>
      <c r="BS281" s="37"/>
      <c r="BT281" s="126">
        <f t="shared" ref="BT281:BT289" si="586">((BP281*0.5*0.4)*0.5*(16/12))*(1-0.1)</f>
        <v>2.0109080314900316E-3</v>
      </c>
      <c r="BU281" s="126">
        <f t="shared" ref="BU281:BU289" si="587">((BP281*0.5*0.6)*0.5*(16/12))*(1-0.1)</f>
        <v>3.0163620472350465E-3</v>
      </c>
      <c r="BV281" s="129">
        <f t="shared" si="576"/>
        <v>0.37369722865103633</v>
      </c>
      <c r="BW281" s="141">
        <f t="shared" si="577"/>
        <v>0.36911682702375348</v>
      </c>
      <c r="BX281" s="137" t="e">
        <f>1-((BW281-((#REF!*2.78)/(SQRT(5))))/BW281)</f>
        <v>#REF!</v>
      </c>
      <c r="BY281" s="37"/>
      <c r="BZ281" s="37"/>
      <c r="CA281" s="38" t="s">
        <v>518</v>
      </c>
      <c r="CB281" s="124">
        <f>BM280</f>
        <v>2.83986E-2</v>
      </c>
      <c r="CC281" s="117"/>
      <c r="CD281" s="118" t="s">
        <v>519</v>
      </c>
      <c r="CE281" s="99" t="s">
        <v>515</v>
      </c>
      <c r="CF281" s="142">
        <f>BC280</f>
        <v>2.6295000000000002E-2</v>
      </c>
      <c r="CG281" s="99" t="s">
        <v>516</v>
      </c>
      <c r="CH281" s="105">
        <v>0.05</v>
      </c>
      <c r="CI281" s="105">
        <v>0.3</v>
      </c>
      <c r="CJ281" s="104" t="s">
        <v>437</v>
      </c>
      <c r="CK281" s="144"/>
      <c r="CN281" s="144"/>
      <c r="CO281" s="144"/>
      <c r="CP281" s="144"/>
      <c r="CQ281" s="145"/>
      <c r="CR281" s="144"/>
      <c r="CS281" s="102"/>
      <c r="CT281" s="147"/>
      <c r="CU281" s="145"/>
      <c r="CV281" s="145"/>
      <c r="CW281" s="145"/>
      <c r="CX281" s="144"/>
      <c r="CY281" s="144"/>
      <c r="CZ281" s="145"/>
      <c r="DA281" s="145"/>
      <c r="DB281" s="145"/>
      <c r="DC281" s="145"/>
      <c r="DD281" s="144"/>
      <c r="DE281" s="144"/>
      <c r="DF281" s="145"/>
      <c r="DG281" s="145"/>
      <c r="DH281" s="145"/>
      <c r="DI281" s="145"/>
      <c r="DJ281" s="50"/>
      <c r="DK281" s="50">
        <v>0.35</v>
      </c>
    </row>
    <row r="282" spans="1:115" s="38" customFormat="1" ht="15.75" hidden="1" thickBot="1">
      <c r="A282" s="25"/>
      <c r="X282" s="121"/>
      <c r="AB282" s="122"/>
      <c r="AC282" s="37"/>
      <c r="AD282" s="78"/>
      <c r="AE282" s="78"/>
      <c r="AF282" s="37"/>
      <c r="AG282" s="78"/>
      <c r="AH282" s="80"/>
      <c r="AI282" s="37"/>
      <c r="AJ282" s="81"/>
      <c r="AK282" s="37"/>
      <c r="AL282" s="85"/>
      <c r="AM282" s="85"/>
      <c r="AN282" s="127" t="s">
        <v>520</v>
      </c>
      <c r="AO282" s="78">
        <f>1-0.4485</f>
        <v>0.55149999999999999</v>
      </c>
      <c r="AP282" s="37">
        <v>0.6</v>
      </c>
      <c r="AQ282" s="37">
        <v>0.4</v>
      </c>
      <c r="AR282" s="81">
        <v>1</v>
      </c>
      <c r="AS282" s="128">
        <f t="shared" si="571"/>
        <v>0.48532000000000003</v>
      </c>
      <c r="AT282" s="37"/>
      <c r="AU282" s="37"/>
      <c r="AV282" s="37"/>
      <c r="AW282" s="78"/>
      <c r="AX282" s="37"/>
      <c r="AY282" s="127" t="s">
        <v>520</v>
      </c>
      <c r="AZ282" s="131">
        <v>0.15</v>
      </c>
      <c r="BA282" s="134">
        <v>0.15</v>
      </c>
      <c r="BB282" s="126">
        <f t="shared" si="578"/>
        <v>4.9999999999999996E-2</v>
      </c>
      <c r="BC282" s="126">
        <f t="shared" si="579"/>
        <v>2.4999999999999998E-2</v>
      </c>
      <c r="BD282" s="126">
        <f t="shared" si="580"/>
        <v>3.5999999999999997E-2</v>
      </c>
      <c r="BE282" s="37"/>
      <c r="BF282" s="127" t="s">
        <v>520</v>
      </c>
      <c r="BG282" s="131">
        <v>0.15</v>
      </c>
      <c r="BH282" s="134">
        <v>0.15</v>
      </c>
      <c r="BI282" s="126">
        <f t="shared" si="581"/>
        <v>4.9999999999999996E-2</v>
      </c>
      <c r="BJ282" s="126">
        <f t="shared" si="582"/>
        <v>2.4999999999999998E-2</v>
      </c>
      <c r="BK282" s="126">
        <f t="shared" si="583"/>
        <v>3.5999999999999997E-2</v>
      </c>
      <c r="BL282" s="126">
        <f t="shared" si="584"/>
        <v>1.7999999999999999E-2</v>
      </c>
      <c r="BM282" s="126">
        <f t="shared" si="585"/>
        <v>2.7E-2</v>
      </c>
      <c r="BN282" s="129">
        <f t="shared" si="572"/>
        <v>6.9000000000000006E-2</v>
      </c>
      <c r="BO282" s="141">
        <f t="shared" si="573"/>
        <v>5.6700000000000007E-2</v>
      </c>
      <c r="BP282" s="141">
        <f t="shared" si="574"/>
        <v>5.0272700787250761E-2</v>
      </c>
      <c r="BQ282" s="137">
        <f t="shared" si="575"/>
        <v>1.1023232109925349</v>
      </c>
      <c r="BR282" s="37"/>
      <c r="BS282" s="37"/>
      <c r="BT282" s="126">
        <f t="shared" si="586"/>
        <v>6.0327240944700921E-3</v>
      </c>
      <c r="BU282" s="126">
        <f t="shared" si="587"/>
        <v>9.0490861417051368E-3</v>
      </c>
      <c r="BV282" s="129">
        <f t="shared" si="576"/>
        <v>0.38620954529141865</v>
      </c>
      <c r="BW282" s="141">
        <f t="shared" si="577"/>
        <v>0.37246834040957011</v>
      </c>
      <c r="BX282" s="137" t="e">
        <f>1-((BW282-((#REF!*2.78)/(SQRT(5))))/BW282)</f>
        <v>#REF!</v>
      </c>
      <c r="BY282" s="37"/>
      <c r="BZ282" s="37"/>
      <c r="CA282" s="124"/>
      <c r="CB282" s="124"/>
      <c r="CC282" s="117"/>
      <c r="CD282" s="118" t="s">
        <v>521</v>
      </c>
      <c r="CE282" s="99" t="s">
        <v>515</v>
      </c>
      <c r="CF282" s="142">
        <f>BD280</f>
        <v>3.7864800000000004E-2</v>
      </c>
      <c r="CG282" s="99" t="s">
        <v>516</v>
      </c>
      <c r="CH282" s="105">
        <v>0.05</v>
      </c>
      <c r="CI282" s="105">
        <v>0.3</v>
      </c>
      <c r="CJ282" s="104" t="s">
        <v>437</v>
      </c>
      <c r="CK282" s="144"/>
      <c r="CN282" s="144"/>
      <c r="CO282" s="144"/>
      <c r="CP282" s="144"/>
      <c r="CQ282" s="145"/>
      <c r="CR282" s="144"/>
      <c r="CS282" s="102"/>
      <c r="CT282" s="147"/>
      <c r="CU282" s="145"/>
      <c r="CV282" s="145"/>
      <c r="CW282" s="145"/>
      <c r="CX282" s="144"/>
      <c r="CY282" s="144"/>
      <c r="CZ282" s="145"/>
      <c r="DA282" s="145"/>
      <c r="DB282" s="145"/>
      <c r="DC282" s="145"/>
      <c r="DD282" s="144"/>
      <c r="DE282" s="144"/>
      <c r="DF282" s="145"/>
      <c r="DG282" s="145"/>
      <c r="DH282" s="145"/>
      <c r="DI282" s="145"/>
      <c r="DJ282" s="50"/>
      <c r="DK282" s="50">
        <v>0.35</v>
      </c>
    </row>
    <row r="283" spans="1:115" s="38" customFormat="1" ht="15.75" hidden="1" thickBot="1">
      <c r="A283" s="25"/>
      <c r="X283" s="121"/>
      <c r="AB283" s="122"/>
      <c r="AC283" s="37"/>
      <c r="AD283" s="78"/>
      <c r="AE283" s="78"/>
      <c r="AF283" s="37"/>
      <c r="AG283" s="78"/>
      <c r="AH283" s="80"/>
      <c r="AI283" s="37"/>
      <c r="AJ283" s="81"/>
      <c r="AK283" s="37"/>
      <c r="AL283" s="85"/>
      <c r="AM283" s="85"/>
      <c r="AN283" s="127" t="s">
        <v>522</v>
      </c>
      <c r="AO283" s="78">
        <f>1-0.41</f>
        <v>0.59000000000000008</v>
      </c>
      <c r="AP283" s="37">
        <v>0.5</v>
      </c>
      <c r="AQ283" s="37">
        <v>0.9</v>
      </c>
      <c r="AR283" s="81">
        <v>1</v>
      </c>
      <c r="AS283" s="128">
        <f t="shared" si="571"/>
        <v>0.97350000000000014</v>
      </c>
      <c r="AT283" s="37"/>
      <c r="AU283" s="37"/>
      <c r="AV283" s="37"/>
      <c r="AW283" s="78"/>
      <c r="AX283" s="37"/>
      <c r="AY283" s="127" t="s">
        <v>523</v>
      </c>
      <c r="AZ283" s="131">
        <v>0.36</v>
      </c>
      <c r="BA283" s="134">
        <v>0.36</v>
      </c>
      <c r="BB283" s="126">
        <f t="shared" si="578"/>
        <v>0.12</v>
      </c>
      <c r="BC283" s="126">
        <f t="shared" si="579"/>
        <v>0.06</v>
      </c>
      <c r="BD283" s="126">
        <f t="shared" si="580"/>
        <v>8.6399999999999991E-2</v>
      </c>
      <c r="BE283" s="37"/>
      <c r="BF283" s="127" t="s">
        <v>523</v>
      </c>
      <c r="BG283" s="131">
        <v>0.36</v>
      </c>
      <c r="BH283" s="134">
        <v>0.36</v>
      </c>
      <c r="BI283" s="126">
        <f t="shared" si="581"/>
        <v>0.12</v>
      </c>
      <c r="BJ283" s="126">
        <f t="shared" si="582"/>
        <v>0.06</v>
      </c>
      <c r="BK283" s="126">
        <f t="shared" si="583"/>
        <v>8.6399999999999991E-2</v>
      </c>
      <c r="BL283" s="126">
        <f t="shared" si="584"/>
        <v>4.3199999999999995E-2</v>
      </c>
      <c r="BM283" s="126">
        <f t="shared" si="585"/>
        <v>6.4799999999999996E-2</v>
      </c>
      <c r="BN283" s="129">
        <f t="shared" si="572"/>
        <v>0.16560000000000002</v>
      </c>
      <c r="BO283" s="141">
        <f t="shared" si="573"/>
        <v>0.13607999999999998</v>
      </c>
      <c r="BP283" s="141">
        <f t="shared" si="574"/>
        <v>0.12065448188940188</v>
      </c>
      <c r="BQ283" s="137">
        <f t="shared" si="575"/>
        <v>1.1023232109925356</v>
      </c>
      <c r="BR283" s="37"/>
      <c r="BS283" s="124"/>
      <c r="BT283" s="126">
        <f t="shared" si="586"/>
        <v>1.4478537826728227E-2</v>
      </c>
      <c r="BU283" s="126">
        <f t="shared" si="587"/>
        <v>2.1717806740092334E-2</v>
      </c>
      <c r="BV283" s="129">
        <f t="shared" si="576"/>
        <v>0.41248541023622193</v>
      </c>
      <c r="BW283" s="141">
        <f t="shared" si="577"/>
        <v>0.3795065185197854</v>
      </c>
      <c r="BX283" s="137" t="e">
        <f>1-((BW283-((#REF!*2.78)/(SQRT(5))))/BW283)</f>
        <v>#REF!</v>
      </c>
      <c r="BY283" s="37"/>
      <c r="BZ283" s="124"/>
      <c r="CA283" s="124"/>
      <c r="CB283" s="37"/>
      <c r="CC283" s="117"/>
      <c r="CD283" s="118" t="s">
        <v>524</v>
      </c>
      <c r="CE283" s="99" t="s">
        <v>515</v>
      </c>
      <c r="CF283" s="142">
        <f>BL280</f>
        <v>1.8932400000000002E-2</v>
      </c>
      <c r="CG283" s="99" t="s">
        <v>516</v>
      </c>
      <c r="CH283" s="105">
        <v>0.05</v>
      </c>
      <c r="CI283" s="105">
        <v>0.3</v>
      </c>
      <c r="CJ283" s="104" t="s">
        <v>437</v>
      </c>
      <c r="CK283" s="144"/>
      <c r="CN283" s="144"/>
      <c r="CO283" s="144"/>
      <c r="CP283" s="144"/>
      <c r="CQ283" s="145"/>
      <c r="CR283" s="144"/>
      <c r="CS283" s="102"/>
      <c r="CT283" s="147"/>
      <c r="CU283" s="145"/>
      <c r="CV283" s="145"/>
      <c r="CW283" s="145"/>
      <c r="CX283" s="144"/>
      <c r="CY283" s="144"/>
      <c r="CZ283" s="145"/>
      <c r="DA283" s="145"/>
      <c r="DB283" s="145"/>
      <c r="DC283" s="145"/>
      <c r="DD283" s="144"/>
      <c r="DE283" s="144"/>
      <c r="DF283" s="145"/>
      <c r="DG283" s="145"/>
      <c r="DH283" s="145"/>
      <c r="DI283" s="145"/>
      <c r="DJ283" s="50"/>
      <c r="DK283" s="50">
        <v>0.35</v>
      </c>
    </row>
    <row r="284" spans="1:115" s="38" customFormat="1" ht="15.75" hidden="1" thickBot="1">
      <c r="A284" s="25"/>
      <c r="X284" s="121"/>
      <c r="AB284" s="122"/>
      <c r="AC284" s="37"/>
      <c r="AD284" s="78"/>
      <c r="AE284" s="78"/>
      <c r="AF284" s="37"/>
      <c r="AG284" s="78"/>
      <c r="AH284" s="80"/>
      <c r="AI284" s="37"/>
      <c r="AJ284" s="81"/>
      <c r="AK284" s="37"/>
      <c r="AL284" s="85"/>
      <c r="AM284" s="85"/>
      <c r="AN284" s="127" t="s">
        <v>525</v>
      </c>
      <c r="AO284" s="78">
        <v>1</v>
      </c>
      <c r="AP284" s="37">
        <v>0.8</v>
      </c>
      <c r="AQ284" s="37">
        <v>1</v>
      </c>
      <c r="AR284" s="81">
        <v>1</v>
      </c>
      <c r="AS284" s="128">
        <f t="shared" si="571"/>
        <v>2.9333333333333336</v>
      </c>
      <c r="AT284" s="37"/>
      <c r="AU284" s="37"/>
      <c r="AV284" s="37"/>
      <c r="AW284" s="78"/>
      <c r="AX284" s="37"/>
      <c r="AY284" s="127" t="s">
        <v>526</v>
      </c>
      <c r="AZ284" s="131">
        <v>0.24</v>
      </c>
      <c r="BA284" s="134">
        <v>0.24</v>
      </c>
      <c r="BB284" s="126">
        <f t="shared" si="578"/>
        <v>7.9999999999999988E-2</v>
      </c>
      <c r="BC284" s="126">
        <f t="shared" si="579"/>
        <v>3.9999999999999994E-2</v>
      </c>
      <c r="BD284" s="126">
        <f t="shared" si="580"/>
        <v>5.7600000000000005E-2</v>
      </c>
      <c r="BE284" s="37"/>
      <c r="BF284" s="127" t="s">
        <v>526</v>
      </c>
      <c r="BG284" s="131">
        <v>0.24</v>
      </c>
      <c r="BH284" s="134">
        <v>0.24</v>
      </c>
      <c r="BI284" s="126">
        <f t="shared" si="581"/>
        <v>7.9999999999999988E-2</v>
      </c>
      <c r="BJ284" s="126">
        <f t="shared" si="582"/>
        <v>3.9999999999999994E-2</v>
      </c>
      <c r="BK284" s="126">
        <f t="shared" si="583"/>
        <v>5.7600000000000005E-2</v>
      </c>
      <c r="BL284" s="126">
        <f t="shared" si="584"/>
        <v>2.8800000000000003E-2</v>
      </c>
      <c r="BM284" s="126">
        <f t="shared" si="585"/>
        <v>4.3199999999999995E-2</v>
      </c>
      <c r="BN284" s="129">
        <f t="shared" si="572"/>
        <v>0.11039999999999998</v>
      </c>
      <c r="BO284" s="141">
        <f t="shared" si="573"/>
        <v>9.0719999999999995E-2</v>
      </c>
      <c r="BP284" s="141">
        <f t="shared" si="574"/>
        <v>8.0436321259601193E-2</v>
      </c>
      <c r="BQ284" s="137">
        <f t="shared" si="575"/>
        <v>1.1023232109925347</v>
      </c>
      <c r="BR284" s="37"/>
      <c r="BS284" s="124"/>
      <c r="BT284" s="126">
        <f t="shared" si="586"/>
        <v>9.6523585511521428E-3</v>
      </c>
      <c r="BU284" s="126">
        <f t="shared" si="587"/>
        <v>1.4478537826728215E-2</v>
      </c>
      <c r="BV284" s="129">
        <f t="shared" si="576"/>
        <v>0.39747063026776264</v>
      </c>
      <c r="BW284" s="141">
        <f t="shared" si="577"/>
        <v>0.37548470245680504</v>
      </c>
      <c r="BX284" s="137" t="e">
        <f>1-((BW284-((#REF!*2.78)/(SQRT(5))))/BW284)</f>
        <v>#REF!</v>
      </c>
      <c r="BY284" s="37"/>
      <c r="BZ284" s="124"/>
      <c r="CA284" s="124"/>
      <c r="CB284" s="37"/>
      <c r="CC284" s="117"/>
      <c r="CD284" s="118" t="s">
        <v>527</v>
      </c>
      <c r="CE284" s="99" t="s">
        <v>515</v>
      </c>
      <c r="CF284" s="142">
        <f>BM280</f>
        <v>2.83986E-2</v>
      </c>
      <c r="CG284" s="99" t="s">
        <v>516</v>
      </c>
      <c r="CH284" s="105">
        <v>0.05</v>
      </c>
      <c r="CI284" s="105">
        <v>0.3</v>
      </c>
      <c r="CJ284" s="104" t="s">
        <v>437</v>
      </c>
      <c r="CK284" s="144"/>
      <c r="CN284" s="144"/>
      <c r="CO284" s="144"/>
      <c r="CP284" s="144"/>
      <c r="CQ284" s="145"/>
      <c r="CR284" s="144"/>
      <c r="CS284" s="102"/>
      <c r="CT284" s="147"/>
      <c r="CU284" s="145"/>
      <c r="CV284" s="145"/>
      <c r="CW284" s="145"/>
      <c r="CX284" s="144"/>
      <c r="CY284" s="144"/>
      <c r="CZ284" s="145"/>
      <c r="DA284" s="145"/>
      <c r="DB284" s="145"/>
      <c r="DC284" s="145"/>
      <c r="DD284" s="144"/>
      <c r="DE284" s="144"/>
      <c r="DF284" s="145"/>
      <c r="DG284" s="145"/>
      <c r="DH284" s="145"/>
      <c r="DI284" s="145"/>
      <c r="DJ284" s="50"/>
      <c r="DK284" s="50">
        <v>0.35</v>
      </c>
    </row>
    <row r="285" spans="1:115" s="38" customFormat="1" ht="15.75" hidden="1" thickBot="1">
      <c r="A285" s="25"/>
      <c r="X285" s="121"/>
      <c r="AB285" s="122"/>
      <c r="AC285" s="37"/>
      <c r="AD285" s="78"/>
      <c r="AE285" s="78"/>
      <c r="AF285" s="37"/>
      <c r="AG285" s="78"/>
      <c r="AH285" s="80"/>
      <c r="AI285" s="37"/>
      <c r="AJ285" s="81"/>
      <c r="AK285" s="37"/>
      <c r="AL285" s="85"/>
      <c r="AM285" s="85"/>
      <c r="AN285" s="127" t="s">
        <v>528</v>
      </c>
      <c r="AO285" s="78">
        <f>AO280</f>
        <v>0.68713000000000002</v>
      </c>
      <c r="AP285" s="78">
        <f t="shared" ref="AP285:AQ285" si="588">AP280</f>
        <v>0.37186000000000008</v>
      </c>
      <c r="AQ285" s="78">
        <f t="shared" si="588"/>
        <v>0.12931000000000001</v>
      </c>
      <c r="AR285" s="81">
        <v>0.57999999999999996</v>
      </c>
      <c r="AS285" s="128">
        <f t="shared" si="571"/>
        <v>7.0266757116481365E-2</v>
      </c>
      <c r="AT285" s="37"/>
      <c r="AU285" s="37"/>
      <c r="AV285" s="37"/>
      <c r="AW285" s="78"/>
      <c r="AX285" s="37"/>
      <c r="AY285" s="127" t="s">
        <v>529</v>
      </c>
      <c r="AZ285" s="131">
        <v>0.43</v>
      </c>
      <c r="BA285" s="134">
        <v>0.43</v>
      </c>
      <c r="BB285" s="126">
        <f t="shared" si="578"/>
        <v>0.14333333333333331</v>
      </c>
      <c r="BC285" s="126">
        <f t="shared" si="579"/>
        <v>7.1666666666666656E-2</v>
      </c>
      <c r="BD285" s="126">
        <f t="shared" si="580"/>
        <v>0.1032</v>
      </c>
      <c r="BE285" s="37"/>
      <c r="BF285" s="127" t="s">
        <v>529</v>
      </c>
      <c r="BG285" s="131">
        <v>0.43</v>
      </c>
      <c r="BH285" s="134">
        <v>0.43</v>
      </c>
      <c r="BI285" s="126">
        <f t="shared" si="581"/>
        <v>0.14333333333333331</v>
      </c>
      <c r="BJ285" s="126">
        <f t="shared" si="582"/>
        <v>7.1666666666666656E-2</v>
      </c>
      <c r="BK285" s="126">
        <f t="shared" si="583"/>
        <v>0.1032</v>
      </c>
      <c r="BL285" s="126">
        <f t="shared" si="584"/>
        <v>5.16E-2</v>
      </c>
      <c r="BM285" s="126">
        <f t="shared" si="585"/>
        <v>7.7399999999999997E-2</v>
      </c>
      <c r="BN285" s="129">
        <f t="shared" si="572"/>
        <v>0.1978</v>
      </c>
      <c r="BO285" s="141">
        <f t="shared" si="573"/>
        <v>0.16253999999999996</v>
      </c>
      <c r="BP285" s="141">
        <f t="shared" si="574"/>
        <v>0.14411507559011888</v>
      </c>
      <c r="BQ285" s="137">
        <f t="shared" si="575"/>
        <v>1.1023232109925354</v>
      </c>
      <c r="BR285" s="37"/>
      <c r="BS285" s="124"/>
      <c r="BT285" s="126">
        <f t="shared" si="586"/>
        <v>1.7293809070814268E-2</v>
      </c>
      <c r="BU285" s="126">
        <f t="shared" si="587"/>
        <v>2.5940713606221397E-2</v>
      </c>
      <c r="BV285" s="129">
        <f t="shared" si="576"/>
        <v>0.4212440318844895</v>
      </c>
      <c r="BW285" s="141">
        <f t="shared" si="577"/>
        <v>0.38185257788985699</v>
      </c>
      <c r="BX285" s="137" t="e">
        <f>1-((BW285-((#REF!*2.78)/(SQRT(5))))/BW285)</f>
        <v>#REF!</v>
      </c>
      <c r="BY285" s="37"/>
      <c r="BZ285" s="124"/>
      <c r="CA285" s="124"/>
      <c r="CB285" s="37"/>
      <c r="CC285" s="117"/>
      <c r="CD285" s="118" t="s">
        <v>530</v>
      </c>
      <c r="CE285" s="99" t="s">
        <v>515</v>
      </c>
      <c r="CF285" s="142">
        <f>BB281</f>
        <v>1.6666666666666666E-2</v>
      </c>
      <c r="CG285" s="99" t="s">
        <v>516</v>
      </c>
      <c r="CH285" s="105">
        <v>0.05</v>
      </c>
      <c r="CI285" s="105">
        <v>0.3</v>
      </c>
      <c r="CJ285" s="104" t="s">
        <v>385</v>
      </c>
      <c r="CK285" s="144"/>
      <c r="CN285" s="144"/>
      <c r="CO285" s="144"/>
      <c r="CP285" s="144"/>
      <c r="CQ285" s="145"/>
      <c r="CR285" s="144"/>
      <c r="CS285" s="102"/>
      <c r="CT285" s="147"/>
      <c r="CU285" s="145"/>
      <c r="CV285" s="145"/>
      <c r="CW285" s="145"/>
      <c r="CX285" s="144"/>
      <c r="CY285" s="144"/>
      <c r="CZ285" s="145"/>
      <c r="DA285" s="145"/>
      <c r="DB285" s="145"/>
      <c r="DC285" s="145"/>
      <c r="DD285" s="144"/>
      <c r="DE285" s="144"/>
      <c r="DF285" s="145"/>
      <c r="DG285" s="145"/>
      <c r="DH285" s="145"/>
      <c r="DI285" s="145"/>
      <c r="DJ285" s="50"/>
      <c r="DK285" s="50">
        <v>0.35</v>
      </c>
    </row>
    <row r="286" spans="1:115" s="38" customFormat="1" ht="15.75" hidden="1" thickBot="1">
      <c r="A286" s="25"/>
      <c r="X286" s="121"/>
      <c r="AB286" s="122"/>
      <c r="AC286" s="37"/>
      <c r="AD286" s="78"/>
      <c r="AE286" s="78"/>
      <c r="AF286" s="37"/>
      <c r="AG286" s="78"/>
      <c r="AH286" s="80"/>
      <c r="AI286" s="37"/>
      <c r="AJ286" s="81"/>
      <c r="AK286" s="37"/>
      <c r="AL286" s="85"/>
      <c r="AM286" s="85"/>
      <c r="AN286" s="127"/>
      <c r="AO286" s="78"/>
      <c r="AP286" s="37"/>
      <c r="AQ286" s="37"/>
      <c r="AR286" s="81"/>
      <c r="AS286" s="37"/>
      <c r="AT286" s="37"/>
      <c r="AU286" s="37"/>
      <c r="AV286" s="37"/>
      <c r="AW286" s="78"/>
      <c r="AX286" s="37"/>
      <c r="AY286" s="127" t="s">
        <v>531</v>
      </c>
      <c r="AZ286" s="131">
        <v>0.12</v>
      </c>
      <c r="BA286" s="134">
        <v>0.12</v>
      </c>
      <c r="BB286" s="126">
        <f t="shared" si="578"/>
        <v>3.9999999999999994E-2</v>
      </c>
      <c r="BC286" s="126">
        <f t="shared" si="579"/>
        <v>1.9999999999999997E-2</v>
      </c>
      <c r="BD286" s="126">
        <f t="shared" si="580"/>
        <v>2.8800000000000003E-2</v>
      </c>
      <c r="BE286" s="37"/>
      <c r="BF286" s="127" t="s">
        <v>531</v>
      </c>
      <c r="BG286" s="131">
        <v>0.12</v>
      </c>
      <c r="BH286" s="134">
        <v>0.12</v>
      </c>
      <c r="BI286" s="126">
        <f t="shared" si="581"/>
        <v>3.9999999999999994E-2</v>
      </c>
      <c r="BJ286" s="126">
        <f t="shared" si="582"/>
        <v>1.9999999999999997E-2</v>
      </c>
      <c r="BK286" s="126">
        <f t="shared" si="583"/>
        <v>2.8800000000000003E-2</v>
      </c>
      <c r="BL286" s="126">
        <f t="shared" si="584"/>
        <v>1.4400000000000001E-2</v>
      </c>
      <c r="BM286" s="126">
        <f t="shared" si="585"/>
        <v>2.1599999999999998E-2</v>
      </c>
      <c r="BN286" s="129">
        <f t="shared" si="572"/>
        <v>5.5199999999999992E-2</v>
      </c>
      <c r="BO286" s="141">
        <f t="shared" si="573"/>
        <v>4.5359999999999998E-2</v>
      </c>
      <c r="BP286" s="141">
        <f t="shared" si="574"/>
        <v>4.0218160629800596E-2</v>
      </c>
      <c r="BQ286" s="137">
        <f t="shared" si="575"/>
        <v>1.1023232109925347</v>
      </c>
      <c r="BR286" s="37"/>
      <c r="BS286" s="124"/>
      <c r="BT286" s="126">
        <f t="shared" si="586"/>
        <v>4.8261792755760714E-3</v>
      </c>
      <c r="BU286" s="126">
        <f t="shared" si="587"/>
        <v>7.2392689133641075E-3</v>
      </c>
      <c r="BV286" s="129">
        <f t="shared" si="576"/>
        <v>0.38245585029930385</v>
      </c>
      <c r="BW286" s="141">
        <f t="shared" si="577"/>
        <v>0.37146288639382496</v>
      </c>
      <c r="BX286" s="137" t="e">
        <f>1-((BW286-((#REF!*2.78)/(SQRT(5))))/BW286)</f>
        <v>#REF!</v>
      </c>
      <c r="BY286" s="37"/>
      <c r="BZ286" s="124"/>
      <c r="CA286" s="124"/>
      <c r="CB286" s="37"/>
      <c r="CC286" s="117"/>
      <c r="CD286" s="118" t="s">
        <v>532</v>
      </c>
      <c r="CE286" s="99" t="s">
        <v>515</v>
      </c>
      <c r="CF286" s="142">
        <f>BB282</f>
        <v>4.9999999999999996E-2</v>
      </c>
      <c r="CG286" s="99" t="s">
        <v>516</v>
      </c>
      <c r="CH286" s="105">
        <v>0.05</v>
      </c>
      <c r="CI286" s="105">
        <v>0.3</v>
      </c>
      <c r="CJ286" s="104" t="s">
        <v>385</v>
      </c>
      <c r="CK286" s="144"/>
      <c r="CN286" s="144"/>
      <c r="CO286" s="144"/>
      <c r="CP286" s="144"/>
      <c r="CQ286" s="145"/>
      <c r="CR286" s="144"/>
      <c r="CS286" s="102"/>
      <c r="CT286" s="147"/>
      <c r="CU286" s="145"/>
      <c r="CV286" s="145"/>
      <c r="CW286" s="145"/>
      <c r="CX286" s="144"/>
      <c r="CY286" s="144"/>
      <c r="CZ286" s="145"/>
      <c r="DA286" s="145"/>
      <c r="DB286" s="145"/>
      <c r="DC286" s="145"/>
      <c r="DD286" s="144"/>
      <c r="DE286" s="144"/>
      <c r="DF286" s="145"/>
      <c r="DG286" s="145"/>
      <c r="DH286" s="145"/>
      <c r="DI286" s="145"/>
      <c r="DJ286" s="50"/>
      <c r="DK286" s="50">
        <v>0.35</v>
      </c>
    </row>
    <row r="287" spans="1:115" s="38" customFormat="1" ht="15.75" hidden="1" thickBot="1">
      <c r="A287" s="25"/>
      <c r="X287" s="121"/>
      <c r="AB287" s="122"/>
      <c r="AC287" s="37"/>
      <c r="AD287" s="78"/>
      <c r="AE287" s="78"/>
      <c r="AF287" s="37"/>
      <c r="AG287" s="78"/>
      <c r="AH287" s="80"/>
      <c r="AI287" s="37"/>
      <c r="AJ287" s="81"/>
      <c r="AK287" s="37"/>
      <c r="AL287" s="85"/>
      <c r="AM287" s="85"/>
      <c r="AN287" s="127"/>
      <c r="AO287" s="78"/>
      <c r="AP287" s="37"/>
      <c r="AQ287" s="37"/>
      <c r="AR287" s="81"/>
      <c r="AS287" s="37"/>
      <c r="AT287" s="37"/>
      <c r="AU287" s="37"/>
      <c r="AV287" s="37"/>
      <c r="AW287" s="78"/>
      <c r="AX287" s="37"/>
      <c r="AY287" s="127" t="s">
        <v>533</v>
      </c>
      <c r="AZ287" s="131">
        <v>0.39</v>
      </c>
      <c r="BA287" s="134">
        <v>0.39</v>
      </c>
      <c r="BB287" s="126">
        <f t="shared" si="578"/>
        <v>0.13</v>
      </c>
      <c r="BC287" s="126">
        <f t="shared" si="579"/>
        <v>6.5000000000000002E-2</v>
      </c>
      <c r="BD287" s="126">
        <f t="shared" si="580"/>
        <v>9.3600000000000017E-2</v>
      </c>
      <c r="BE287" s="37"/>
      <c r="BF287" s="127" t="s">
        <v>533</v>
      </c>
      <c r="BG287" s="131">
        <v>0.39</v>
      </c>
      <c r="BH287" s="134">
        <v>0.39</v>
      </c>
      <c r="BI287" s="126">
        <f t="shared" si="581"/>
        <v>0.13</v>
      </c>
      <c r="BJ287" s="126">
        <f t="shared" si="582"/>
        <v>6.5000000000000002E-2</v>
      </c>
      <c r="BK287" s="126">
        <f t="shared" si="583"/>
        <v>9.3600000000000017E-2</v>
      </c>
      <c r="BL287" s="126">
        <f t="shared" si="584"/>
        <v>4.6800000000000008E-2</v>
      </c>
      <c r="BM287" s="126">
        <f t="shared" si="585"/>
        <v>7.0199999999999985E-2</v>
      </c>
      <c r="BN287" s="129">
        <f t="shared" si="572"/>
        <v>0.17939999999999998</v>
      </c>
      <c r="BO287" s="141">
        <f t="shared" si="573"/>
        <v>0.14741999999999997</v>
      </c>
      <c r="BP287" s="141">
        <f t="shared" si="574"/>
        <v>0.13070902204685206</v>
      </c>
      <c r="BQ287" s="137">
        <f t="shared" si="575"/>
        <v>1.1023232109925361</v>
      </c>
      <c r="BR287" s="37"/>
      <c r="BS287" s="123"/>
      <c r="BT287" s="126">
        <f t="shared" si="586"/>
        <v>1.5685082645622246E-2</v>
      </c>
      <c r="BU287" s="126">
        <f t="shared" si="587"/>
        <v>2.3527623968433369E-2</v>
      </c>
      <c r="BV287" s="129">
        <f t="shared" si="576"/>
        <v>0.41623910522833679</v>
      </c>
      <c r="BW287" s="141">
        <f t="shared" si="577"/>
        <v>0.3805119725355306</v>
      </c>
      <c r="BX287" s="137" t="e">
        <f>1-((BW287-((#REF!*2.78)/(SQRT(5))))/BW287)</f>
        <v>#REF!</v>
      </c>
      <c r="BY287" s="37"/>
      <c r="BZ287" s="123"/>
      <c r="CA287" s="37"/>
      <c r="CB287" s="37"/>
      <c r="CC287" s="117"/>
      <c r="CD287" s="118" t="s">
        <v>534</v>
      </c>
      <c r="CE287" s="99" t="s">
        <v>515</v>
      </c>
      <c r="CF287" s="142">
        <f>BB282</f>
        <v>4.9999999999999996E-2</v>
      </c>
      <c r="CG287" s="99" t="s">
        <v>516</v>
      </c>
      <c r="CH287" s="105">
        <v>0.05</v>
      </c>
      <c r="CI287" s="105">
        <v>0.3</v>
      </c>
      <c r="CJ287" s="104" t="s">
        <v>437</v>
      </c>
      <c r="CK287" s="144"/>
      <c r="CN287" s="144"/>
      <c r="CO287" s="144"/>
      <c r="CP287" s="144"/>
      <c r="CQ287" s="145"/>
      <c r="CR287" s="144"/>
      <c r="CS287" s="102"/>
      <c r="CT287" s="147"/>
      <c r="CU287" s="145"/>
      <c r="CV287" s="145"/>
      <c r="CW287" s="145"/>
      <c r="CX287" s="144"/>
      <c r="CY287" s="144"/>
      <c r="CZ287" s="145"/>
      <c r="DA287" s="145"/>
      <c r="DB287" s="145"/>
      <c r="DC287" s="145"/>
      <c r="DD287" s="144"/>
      <c r="DE287" s="144"/>
      <c r="DF287" s="145"/>
      <c r="DG287" s="145"/>
      <c r="DH287" s="145"/>
      <c r="DI287" s="145"/>
      <c r="DJ287" s="50"/>
      <c r="DK287" s="50">
        <v>0.35</v>
      </c>
    </row>
    <row r="288" spans="1:115" s="38" customFormat="1" ht="15.75" hidden="1" thickBot="1">
      <c r="A288" s="25"/>
      <c r="X288" s="121"/>
      <c r="AB288" s="122"/>
      <c r="AC288" s="37"/>
      <c r="AD288" s="78"/>
      <c r="AE288" s="78"/>
      <c r="AF288" s="37"/>
      <c r="AG288" s="78"/>
      <c r="AH288" s="80"/>
      <c r="AI288" s="37"/>
      <c r="AJ288" s="81"/>
      <c r="AK288" s="37"/>
      <c r="AL288" s="85"/>
      <c r="AM288" s="85"/>
      <c r="AN288" s="127"/>
      <c r="AO288" s="78"/>
      <c r="AP288" s="37"/>
      <c r="AQ288" s="37"/>
      <c r="AR288" s="81"/>
      <c r="AS288" s="37"/>
      <c r="AT288" s="37"/>
      <c r="AU288" s="37"/>
      <c r="AV288" s="37"/>
      <c r="AW288" s="78"/>
      <c r="AX288" s="37"/>
      <c r="AY288" s="127" t="s">
        <v>535</v>
      </c>
      <c r="AZ288" s="131">
        <v>0.04</v>
      </c>
      <c r="BA288" s="134">
        <v>0.04</v>
      </c>
      <c r="BB288" s="126">
        <f t="shared" si="578"/>
        <v>1.3333333333333332E-2</v>
      </c>
      <c r="BC288" s="126">
        <f t="shared" si="579"/>
        <v>6.6666666666666662E-3</v>
      </c>
      <c r="BD288" s="126">
        <f t="shared" si="580"/>
        <v>9.5999999999999992E-3</v>
      </c>
      <c r="BE288" s="37"/>
      <c r="BF288" s="127" t="s">
        <v>535</v>
      </c>
      <c r="BG288" s="131">
        <v>0.04</v>
      </c>
      <c r="BH288" s="134">
        <v>0.04</v>
      </c>
      <c r="BI288" s="126">
        <f t="shared" si="581"/>
        <v>1.3333333333333332E-2</v>
      </c>
      <c r="BJ288" s="126">
        <f t="shared" si="582"/>
        <v>6.6666666666666662E-3</v>
      </c>
      <c r="BK288" s="126">
        <f t="shared" si="583"/>
        <v>9.5999999999999992E-3</v>
      </c>
      <c r="BL288" s="126">
        <f t="shared" si="584"/>
        <v>4.7999999999999996E-3</v>
      </c>
      <c r="BM288" s="126">
        <f t="shared" si="585"/>
        <v>7.2000000000000007E-3</v>
      </c>
      <c r="BN288" s="129">
        <f t="shared" si="572"/>
        <v>1.84E-2</v>
      </c>
      <c r="BO288" s="141">
        <f t="shared" si="573"/>
        <v>1.512E-2</v>
      </c>
      <c r="BP288" s="141">
        <f t="shared" si="574"/>
        <v>1.3406053543266874E-2</v>
      </c>
      <c r="BQ288" s="137">
        <f t="shared" si="575"/>
        <v>1.1023232109925352</v>
      </c>
      <c r="BR288" s="37"/>
      <c r="BS288" s="78"/>
      <c r="BT288" s="126">
        <f t="shared" si="586"/>
        <v>1.608726425192025E-3</v>
      </c>
      <c r="BU288" s="126">
        <f t="shared" si="587"/>
        <v>2.413089637788037E-3</v>
      </c>
      <c r="BV288" s="129">
        <f t="shared" si="576"/>
        <v>0.37244599698699804</v>
      </c>
      <c r="BW288" s="141">
        <f t="shared" si="577"/>
        <v>0.36878167568517178</v>
      </c>
      <c r="BX288" s="137" t="e">
        <f>1-((BW288-((#REF!*2.78)/(SQRT(5))))/BW288)</f>
        <v>#REF!</v>
      </c>
      <c r="BY288" s="37"/>
      <c r="BZ288" s="78"/>
      <c r="CA288" s="37"/>
      <c r="CB288" s="37"/>
      <c r="CC288" s="117"/>
      <c r="CD288" s="118" t="s">
        <v>536</v>
      </c>
      <c r="CE288" s="99" t="s">
        <v>515</v>
      </c>
      <c r="CF288" s="142">
        <f t="shared" ref="CF288:CF293" si="589">BB284</f>
        <v>7.9999999999999988E-2</v>
      </c>
      <c r="CG288" s="99" t="s">
        <v>516</v>
      </c>
      <c r="CH288" s="105">
        <v>0.05</v>
      </c>
      <c r="CI288" s="105">
        <v>0.3</v>
      </c>
      <c r="CJ288" s="104" t="s">
        <v>385</v>
      </c>
      <c r="CK288" s="144"/>
      <c r="CN288" s="144"/>
      <c r="CO288" s="144"/>
      <c r="CP288" s="144"/>
      <c r="CQ288" s="145"/>
      <c r="CR288" s="144"/>
      <c r="CS288" s="102"/>
      <c r="CT288" s="147"/>
      <c r="CU288" s="145"/>
      <c r="CV288" s="145"/>
      <c r="CW288" s="145"/>
      <c r="CX288" s="144"/>
      <c r="CY288" s="144"/>
      <c r="CZ288" s="145"/>
      <c r="DA288" s="145"/>
      <c r="DB288" s="145"/>
      <c r="DC288" s="145"/>
      <c r="DD288" s="144"/>
      <c r="DE288" s="144"/>
      <c r="DF288" s="145"/>
      <c r="DG288" s="145"/>
      <c r="DH288" s="145"/>
      <c r="DI288" s="145"/>
      <c r="DJ288" s="50"/>
      <c r="DK288" s="50">
        <v>0.35</v>
      </c>
    </row>
    <row r="289" spans="1:115" s="38" customFormat="1" ht="15.75" hidden="1" thickBot="1">
      <c r="A289" s="25"/>
      <c r="X289" s="121"/>
      <c r="AB289" s="122"/>
      <c r="AC289" s="37"/>
      <c r="AD289" s="78"/>
      <c r="AE289" s="78"/>
      <c r="AF289" s="37"/>
      <c r="AG289" s="78"/>
      <c r="AH289" s="80"/>
      <c r="AI289" s="37"/>
      <c r="AJ289" s="81"/>
      <c r="AK289" s="37"/>
      <c r="AL289" s="85"/>
      <c r="AM289" s="85"/>
      <c r="AN289" s="127"/>
      <c r="AO289" s="78"/>
      <c r="AP289" s="37"/>
      <c r="AQ289" s="37"/>
      <c r="AR289" s="81"/>
      <c r="AS289" s="37"/>
      <c r="AT289" s="37"/>
      <c r="AU289" s="37"/>
      <c r="AV289" s="37"/>
      <c r="AW289" s="78"/>
      <c r="AX289" s="37"/>
      <c r="AY289" s="127" t="s">
        <v>537</v>
      </c>
      <c r="AZ289" s="131">
        <v>0.01</v>
      </c>
      <c r="BA289" s="134">
        <v>0.01</v>
      </c>
      <c r="BB289" s="126">
        <f t="shared" si="578"/>
        <v>3.3333333333333331E-3</v>
      </c>
      <c r="BC289" s="126">
        <f t="shared" si="579"/>
        <v>1.6666666666666666E-3</v>
      </c>
      <c r="BD289" s="126">
        <f t="shared" si="580"/>
        <v>2.3999999999999998E-3</v>
      </c>
      <c r="BE289" s="37"/>
      <c r="BF289" s="127" t="s">
        <v>537</v>
      </c>
      <c r="BG289" s="131">
        <v>0.01</v>
      </c>
      <c r="BH289" s="134">
        <v>0.01</v>
      </c>
      <c r="BI289" s="126">
        <f t="shared" si="581"/>
        <v>3.3333333333333331E-3</v>
      </c>
      <c r="BJ289" s="126">
        <f t="shared" si="582"/>
        <v>1.6666666666666666E-3</v>
      </c>
      <c r="BK289" s="126">
        <f t="shared" si="583"/>
        <v>2.3999999999999998E-3</v>
      </c>
      <c r="BL289" s="126">
        <f t="shared" si="584"/>
        <v>1.1999999999999999E-3</v>
      </c>
      <c r="BM289" s="126">
        <f t="shared" si="585"/>
        <v>1.8000000000000002E-3</v>
      </c>
      <c r="BN289" s="129">
        <f t="shared" si="572"/>
        <v>4.5999999999999999E-3</v>
      </c>
      <c r="BO289" s="141">
        <f t="shared" si="573"/>
        <v>3.7799999999999999E-3</v>
      </c>
      <c r="BP289" s="141">
        <f t="shared" si="574"/>
        <v>3.3515133858167184E-3</v>
      </c>
      <c r="BQ289" s="137">
        <f t="shared" si="575"/>
        <v>1.1023232109925352</v>
      </c>
      <c r="BR289" s="37"/>
      <c r="BS289" s="78"/>
      <c r="BT289" s="126">
        <f t="shared" si="586"/>
        <v>4.0218160629800626E-4</v>
      </c>
      <c r="BU289" s="126">
        <f t="shared" si="587"/>
        <v>6.0327240944700925E-4</v>
      </c>
      <c r="BV289" s="129">
        <f t="shared" si="576"/>
        <v>0.36869230199488329</v>
      </c>
      <c r="BW289" s="141">
        <f t="shared" si="577"/>
        <v>0.3677762216694267</v>
      </c>
      <c r="BX289" s="137" t="e">
        <f>1-((BW289-((#REF!*2.78)/(SQRT(5))))/BW289)</f>
        <v>#REF!</v>
      </c>
      <c r="BY289" s="37"/>
      <c r="BZ289" s="78"/>
      <c r="CA289" s="37"/>
      <c r="CB289" s="37"/>
      <c r="CC289" s="117"/>
      <c r="CD289" s="118" t="s">
        <v>538</v>
      </c>
      <c r="CE289" s="99" t="s">
        <v>515</v>
      </c>
      <c r="CF289" s="142">
        <f t="shared" si="589"/>
        <v>0.14333333333333331</v>
      </c>
      <c r="CG289" s="99" t="s">
        <v>516</v>
      </c>
      <c r="CH289" s="105">
        <v>0.05</v>
      </c>
      <c r="CI289" s="105">
        <v>0.3</v>
      </c>
      <c r="CJ289" s="104" t="s">
        <v>385</v>
      </c>
      <c r="CK289" s="144"/>
      <c r="CN289" s="144"/>
      <c r="CO289" s="144"/>
      <c r="CP289" s="144"/>
      <c r="CQ289" s="145"/>
      <c r="CR289" s="144"/>
      <c r="CS289" s="102"/>
      <c r="CT289" s="147"/>
      <c r="CU289" s="145"/>
      <c r="CV289" s="145"/>
      <c r="CW289" s="145"/>
      <c r="CX289" s="144"/>
      <c r="CY289" s="144"/>
      <c r="CZ289" s="145"/>
      <c r="DA289" s="145"/>
      <c r="DB289" s="145"/>
      <c r="DC289" s="145"/>
      <c r="DD289" s="144"/>
      <c r="DE289" s="144"/>
      <c r="DF289" s="145"/>
      <c r="DG289" s="145"/>
      <c r="DH289" s="145"/>
      <c r="DI289" s="145"/>
      <c r="DJ289" s="50"/>
      <c r="DK289" s="50">
        <v>0.35</v>
      </c>
    </row>
    <row r="290" spans="1:115" s="38" customFormat="1" ht="15.75" hidden="1" thickBot="1">
      <c r="A290" s="25"/>
      <c r="X290" s="121"/>
      <c r="AB290" s="122"/>
      <c r="AC290" s="37"/>
      <c r="AD290" s="78"/>
      <c r="AE290" s="78"/>
      <c r="AF290" s="37"/>
      <c r="AG290" s="78"/>
      <c r="AH290" s="80"/>
      <c r="AI290" s="37"/>
      <c r="AJ290" s="81"/>
      <c r="AK290" s="37"/>
      <c r="AL290" s="85"/>
      <c r="AM290" s="85"/>
      <c r="AN290" s="37"/>
      <c r="AO290" s="78"/>
      <c r="AP290" s="37"/>
      <c r="AQ290" s="37"/>
      <c r="AR290" s="81"/>
      <c r="AS290" s="37"/>
      <c r="AT290" s="37"/>
      <c r="AU290" s="37"/>
      <c r="AV290" s="37"/>
      <c r="AW290" s="78"/>
      <c r="AX290" s="37"/>
      <c r="AZ290" s="129" t="s">
        <v>505</v>
      </c>
      <c r="BA290" s="132" t="s">
        <v>505</v>
      </c>
      <c r="BB290" s="135">
        <f>AVERAGE(BB280:BB289)</f>
        <v>6.4925666666666659E-2</v>
      </c>
      <c r="BC290" s="135">
        <f>AVERAGE(BC280:BC289)</f>
        <v>3.246283333333333E-2</v>
      </c>
      <c r="BD290" s="135">
        <f>AVERAGE(BD280:BD289)</f>
        <v>4.674648E-2</v>
      </c>
      <c r="BE290" s="37"/>
      <c r="BG290" s="129" t="s">
        <v>505</v>
      </c>
      <c r="BH290" s="132" t="s">
        <v>505</v>
      </c>
      <c r="BI290" s="135">
        <f>AVERAGE(BI280:BI289)</f>
        <v>6.4925666666666659E-2</v>
      </c>
      <c r="BJ290" s="135">
        <f>AVERAGE(BJ280:BJ289)</f>
        <v>3.246283333333333E-2</v>
      </c>
      <c r="BK290" s="135">
        <f>AVERAGE(BK280:BK289)</f>
        <v>4.674648E-2</v>
      </c>
      <c r="BL290" s="135">
        <f>AVERAGE(BL280:BL289)</f>
        <v>2.337324E-2</v>
      </c>
      <c r="BM290" s="135">
        <f>AVERAGE(BM280:BM289)</f>
        <v>3.5059859999999998E-2</v>
      </c>
      <c r="BN290" s="81"/>
      <c r="BO290" s="37"/>
      <c r="BP290" s="78"/>
      <c r="BQ290" s="78"/>
      <c r="BR290" s="37"/>
      <c r="BS290" s="78"/>
      <c r="BT290" s="135">
        <f>AVERAGE(BT280:BT289)</f>
        <v>9.1782107527343098E-3</v>
      </c>
      <c r="BU290" s="135">
        <f>AVERAGE(BU280:BU289)</f>
        <v>1.3767316129101464E-2</v>
      </c>
      <c r="BV290" s="81"/>
      <c r="BW290" s="37"/>
      <c r="BX290" s="78"/>
      <c r="BY290" s="37"/>
      <c r="BZ290" s="78"/>
      <c r="CA290" s="37"/>
      <c r="CB290" s="37"/>
      <c r="CC290" s="117"/>
      <c r="CD290" s="118" t="s">
        <v>539</v>
      </c>
      <c r="CE290" s="99" t="s">
        <v>515</v>
      </c>
      <c r="CF290" s="142">
        <f t="shared" si="589"/>
        <v>3.9999999999999994E-2</v>
      </c>
      <c r="CG290" s="99" t="s">
        <v>516</v>
      </c>
      <c r="CH290" s="105">
        <v>0.05</v>
      </c>
      <c r="CI290" s="105">
        <v>0.3</v>
      </c>
      <c r="CJ290" s="104" t="s">
        <v>437</v>
      </c>
      <c r="CK290" s="144"/>
      <c r="CN290" s="144"/>
      <c r="CO290" s="144"/>
      <c r="CP290" s="144"/>
      <c r="CQ290" s="145"/>
      <c r="CR290" s="144"/>
      <c r="CS290" s="102"/>
      <c r="CT290" s="147"/>
      <c r="CU290" s="145"/>
      <c r="CV290" s="145"/>
      <c r="CW290" s="145"/>
      <c r="CX290" s="144"/>
      <c r="CY290" s="144"/>
      <c r="CZ290" s="145"/>
      <c r="DA290" s="145"/>
      <c r="DB290" s="145"/>
      <c r="DC290" s="145"/>
      <c r="DD290" s="144"/>
      <c r="DE290" s="144"/>
      <c r="DF290" s="145"/>
      <c r="DG290" s="145"/>
      <c r="DH290" s="145"/>
      <c r="DI290" s="145"/>
      <c r="DJ290" s="50"/>
      <c r="DK290" s="50">
        <v>0.35</v>
      </c>
    </row>
    <row r="291" spans="1:115" s="38" customFormat="1" ht="15.75" hidden="1" thickBot="1">
      <c r="A291" s="25"/>
      <c r="X291" s="121"/>
      <c r="AB291" s="122"/>
      <c r="AC291" s="37"/>
      <c r="AD291" s="78"/>
      <c r="AE291" s="78"/>
      <c r="AF291" s="37"/>
      <c r="AG291" s="78"/>
      <c r="AH291" s="80"/>
      <c r="AI291" s="37"/>
      <c r="AJ291" s="81"/>
      <c r="AK291" s="37"/>
      <c r="AL291" s="85"/>
      <c r="AM291" s="85"/>
      <c r="AN291" s="37"/>
      <c r="AO291" s="78"/>
      <c r="AP291" s="37"/>
      <c r="AQ291" s="37"/>
      <c r="AR291" s="81"/>
      <c r="AS291" s="37"/>
      <c r="AT291" s="37"/>
      <c r="AU291" s="37"/>
      <c r="AV291" s="37"/>
      <c r="AW291" s="78"/>
      <c r="AX291" s="37"/>
      <c r="AZ291" s="129" t="s">
        <v>506</v>
      </c>
      <c r="BA291" s="132" t="s">
        <v>506</v>
      </c>
      <c r="BB291" s="132">
        <f>STDEV(BB280:BB289)</f>
        <v>5.1015680911744091E-2</v>
      </c>
      <c r="BC291" s="132">
        <f>STDEV(BC280:BC289)</f>
        <v>2.5507840455872045E-2</v>
      </c>
      <c r="BD291" s="132">
        <f>STDEV(BD280:BD289)</f>
        <v>3.6731290256455738E-2</v>
      </c>
      <c r="BE291" s="37"/>
      <c r="BG291" s="129" t="s">
        <v>506</v>
      </c>
      <c r="BH291" s="132" t="s">
        <v>506</v>
      </c>
      <c r="BI291" s="132">
        <f>STDEV(BI280:BI289)</f>
        <v>5.1015680911744091E-2</v>
      </c>
      <c r="BJ291" s="132">
        <f>STDEV(BJ280:BJ289)</f>
        <v>2.5507840455872045E-2</v>
      </c>
      <c r="BK291" s="132">
        <f>STDEV(BK280:BK289)</f>
        <v>3.6731290256455738E-2</v>
      </c>
      <c r="BL291" s="132">
        <f>STDEV(BL280:BL289)</f>
        <v>1.8365645128227869E-2</v>
      </c>
      <c r="BM291" s="132">
        <f>STDEV(BM280:BM289)</f>
        <v>2.7548467692341802E-2</v>
      </c>
      <c r="BN291" s="81"/>
      <c r="BO291" s="37"/>
      <c r="BP291" s="78"/>
      <c r="BQ291" s="78"/>
      <c r="BR291" s="37"/>
      <c r="BS291" s="78"/>
      <c r="BT291" s="132">
        <f>STDEV(BT280:BT289)</f>
        <v>7.1777813470022996E-3</v>
      </c>
      <c r="BU291" s="132">
        <f>STDEV(BU280:BU289)</f>
        <v>1.0766672020503449E-2</v>
      </c>
      <c r="BV291" s="81"/>
      <c r="BW291" s="37"/>
      <c r="BX291" s="78"/>
      <c r="BY291" s="37"/>
      <c r="BZ291" s="78"/>
      <c r="CA291" s="37"/>
      <c r="CB291" s="37"/>
      <c r="CC291" s="117"/>
      <c r="CD291" s="118" t="s">
        <v>540</v>
      </c>
      <c r="CE291" s="99" t="s">
        <v>515</v>
      </c>
      <c r="CF291" s="142">
        <f t="shared" si="589"/>
        <v>0.13</v>
      </c>
      <c r="CG291" s="99" t="s">
        <v>516</v>
      </c>
      <c r="CH291" s="105">
        <v>0.05</v>
      </c>
      <c r="CI291" s="105">
        <v>0.3</v>
      </c>
      <c r="CJ291" s="104" t="s">
        <v>385</v>
      </c>
      <c r="CK291" s="144"/>
      <c r="CN291" s="144"/>
      <c r="CO291" s="144"/>
      <c r="CP291" s="144"/>
      <c r="CQ291" s="145"/>
      <c r="CR291" s="144"/>
      <c r="CS291" s="102"/>
      <c r="CT291" s="147"/>
      <c r="CU291" s="145"/>
      <c r="CV291" s="145"/>
      <c r="CW291" s="145"/>
      <c r="CX291" s="144"/>
      <c r="CY291" s="144"/>
      <c r="CZ291" s="145"/>
      <c r="DA291" s="145"/>
      <c r="DB291" s="145"/>
      <c r="DC291" s="145"/>
      <c r="DD291" s="144"/>
      <c r="DE291" s="144"/>
      <c r="DF291" s="145"/>
      <c r="DG291" s="145"/>
      <c r="DH291" s="145"/>
      <c r="DI291" s="145"/>
      <c r="DJ291" s="50"/>
      <c r="DK291" s="50">
        <v>0.35</v>
      </c>
    </row>
    <row r="292" spans="1:115" s="38" customFormat="1" ht="15.75" hidden="1" thickBot="1">
      <c r="A292" s="25"/>
      <c r="X292" s="121"/>
      <c r="AB292" s="122"/>
      <c r="AC292" s="37"/>
      <c r="AD292" s="78"/>
      <c r="AE292" s="78"/>
      <c r="AF292" s="37"/>
      <c r="AG292" s="78"/>
      <c r="AH292" s="80"/>
      <c r="AI292" s="37"/>
      <c r="AJ292" s="81"/>
      <c r="AK292" s="37"/>
      <c r="AL292" s="85"/>
      <c r="AM292" s="85"/>
      <c r="AN292" s="37"/>
      <c r="AO292" s="78"/>
      <c r="AP292" s="37"/>
      <c r="AQ292" s="37"/>
      <c r="AR292" s="81"/>
      <c r="AS292" s="37"/>
      <c r="AT292" s="37"/>
      <c r="AU292" s="37"/>
      <c r="AV292" s="37"/>
      <c r="AW292" s="78"/>
      <c r="AX292" s="37"/>
      <c r="AY292" s="37"/>
      <c r="AZ292" s="129" t="s">
        <v>541</v>
      </c>
      <c r="BA292" s="132" t="s">
        <v>541</v>
      </c>
      <c r="BB292" s="132">
        <f>CE423</f>
        <v>2.31</v>
      </c>
      <c r="BC292" s="136">
        <f>BB292</f>
        <v>2.31</v>
      </c>
      <c r="BD292" s="136">
        <f>BC292</f>
        <v>2.31</v>
      </c>
      <c r="BE292" s="37"/>
      <c r="BF292" s="37"/>
      <c r="BG292" s="129" t="s">
        <v>541</v>
      </c>
      <c r="BH292" s="132" t="s">
        <v>541</v>
      </c>
      <c r="BI292" s="132">
        <f>CL433</f>
        <v>0</v>
      </c>
      <c r="BJ292" s="136">
        <f>BI292</f>
        <v>0</v>
      </c>
      <c r="BK292" s="136">
        <f>BJ292</f>
        <v>0</v>
      </c>
      <c r="BL292" s="136">
        <f>BD292</f>
        <v>2.31</v>
      </c>
      <c r="BM292" s="136">
        <f>BL292</f>
        <v>2.31</v>
      </c>
      <c r="BN292" s="81"/>
      <c r="BO292" s="37"/>
      <c r="BP292" s="78"/>
      <c r="BQ292" s="78"/>
      <c r="BR292" s="37"/>
      <c r="BS292" s="78"/>
      <c r="BT292" s="136">
        <f>BS292</f>
        <v>0</v>
      </c>
      <c r="BU292" s="136">
        <f>BT292</f>
        <v>0</v>
      </c>
      <c r="BV292" s="81"/>
      <c r="BW292" s="37"/>
      <c r="BX292" s="78"/>
      <c r="BY292" s="37"/>
      <c r="BZ292" s="78"/>
      <c r="CA292" s="37"/>
      <c r="CB292" s="37"/>
      <c r="CC292" s="117"/>
      <c r="CD292" s="118" t="s">
        <v>542</v>
      </c>
      <c r="CE292" s="99" t="s">
        <v>515</v>
      </c>
      <c r="CF292" s="142">
        <f t="shared" si="589"/>
        <v>1.3333333333333332E-2</v>
      </c>
      <c r="CG292" s="99" t="s">
        <v>516</v>
      </c>
      <c r="CH292" s="105">
        <v>0.05</v>
      </c>
      <c r="CI292" s="105">
        <v>0.3</v>
      </c>
      <c r="CJ292" s="104" t="s">
        <v>385</v>
      </c>
      <c r="CK292" s="144"/>
      <c r="CN292" s="144"/>
      <c r="CO292" s="144"/>
      <c r="CP292" s="144"/>
      <c r="CQ292" s="145"/>
      <c r="CR292" s="144"/>
      <c r="CS292" s="102"/>
      <c r="CT292" s="147"/>
      <c r="CU292" s="145"/>
      <c r="CV292" s="145"/>
      <c r="CW292" s="145"/>
      <c r="CX292" s="144"/>
      <c r="CY292" s="144"/>
      <c r="CZ292" s="145"/>
      <c r="DA292" s="145"/>
      <c r="DB292" s="145"/>
      <c r="DC292" s="145"/>
      <c r="DD292" s="144"/>
      <c r="DE292" s="144"/>
      <c r="DF292" s="145"/>
      <c r="DG292" s="145"/>
      <c r="DH292" s="145"/>
      <c r="DI292" s="145"/>
      <c r="DJ292" s="50"/>
      <c r="DK292" s="50">
        <v>0.35</v>
      </c>
    </row>
    <row r="293" spans="1:115" s="38" customFormat="1" ht="15.75" hidden="1" thickBot="1">
      <c r="A293" s="25"/>
      <c r="X293" s="121"/>
      <c r="AB293" s="122"/>
      <c r="AC293" s="37"/>
      <c r="AD293" s="78"/>
      <c r="AE293" s="78"/>
      <c r="AF293" s="37"/>
      <c r="AG293" s="78"/>
      <c r="AH293" s="80"/>
      <c r="AI293" s="37"/>
      <c r="AJ293" s="81"/>
      <c r="AK293" s="37"/>
      <c r="AL293" s="85"/>
      <c r="AM293" s="85"/>
      <c r="AN293" s="37"/>
      <c r="AO293" s="78"/>
      <c r="AP293" s="37"/>
      <c r="AQ293" s="37"/>
      <c r="AR293" s="81"/>
      <c r="AS293" s="37"/>
      <c r="AT293" s="37"/>
      <c r="AU293" s="37"/>
      <c r="AV293" s="37"/>
      <c r="AW293" s="78"/>
      <c r="AX293" s="37"/>
      <c r="AY293" s="37"/>
      <c r="AZ293" s="129" t="s">
        <v>507</v>
      </c>
      <c r="BA293" s="132" t="s">
        <v>507</v>
      </c>
      <c r="BB293" s="137">
        <f>1-((BB290-((BB291*BB292)/(SQRT(9))))/BB290)</f>
        <v>0.60503151247903442</v>
      </c>
      <c r="BC293" s="137">
        <f>1-((BC290-((BC291*BC292)/(SQRT(9))))/BC290)</f>
        <v>0.60503151247903442</v>
      </c>
      <c r="BD293" s="137">
        <f>1-((BD290-((BD291*BD292)/(SQRT(9))))/BD290)</f>
        <v>0.60503151247903419</v>
      </c>
      <c r="BE293" s="37"/>
      <c r="BF293" s="37"/>
      <c r="BG293" s="129" t="s">
        <v>507</v>
      </c>
      <c r="BH293" s="132" t="s">
        <v>507</v>
      </c>
      <c r="BI293" s="137">
        <f>1-((BI290-((BI291*BI292)/(SQRT(9))))/BI290)</f>
        <v>0</v>
      </c>
      <c r="BJ293" s="137">
        <f>1-((BJ290-((BJ291*BJ292)/(SQRT(9))))/BJ290)</f>
        <v>0</v>
      </c>
      <c r="BK293" s="137">
        <f>1-((BK290-((BK291*BK292)/(SQRT(9))))/BK290)</f>
        <v>0</v>
      </c>
      <c r="BL293" s="137">
        <f>1-((BL290-((BL291*BL292)/(SQRT(9))))/BL290)</f>
        <v>0.60503151247903419</v>
      </c>
      <c r="BM293" s="137">
        <f>1-((BM290-((BM291*BM292)/(SQRT(9))))/BM290)</f>
        <v>0.60503151247903408</v>
      </c>
      <c r="BN293" s="81"/>
      <c r="BO293" s="37"/>
      <c r="BP293" s="78"/>
      <c r="BQ293" s="78"/>
      <c r="BR293" s="37"/>
      <c r="BS293" s="78"/>
      <c r="BT293" s="137">
        <f>1-((BT290-((BT291*BT292)/(SQRT(9))))/BT290)</f>
        <v>0</v>
      </c>
      <c r="BU293" s="137">
        <f>1-((BU290-((BU291*BU292)/(SQRT(9))))/BU290)</f>
        <v>0</v>
      </c>
      <c r="BV293" s="81"/>
      <c r="BW293" s="37"/>
      <c r="BX293" s="78"/>
      <c r="BY293" s="37"/>
      <c r="BZ293" s="78"/>
      <c r="CA293" s="37"/>
      <c r="CB293" s="37"/>
      <c r="CC293" s="117"/>
      <c r="CD293" s="118" t="s">
        <v>543</v>
      </c>
      <c r="CE293" s="99" t="s">
        <v>515</v>
      </c>
      <c r="CF293" s="142">
        <f t="shared" si="589"/>
        <v>3.3333333333333331E-3</v>
      </c>
      <c r="CG293" s="99" t="s">
        <v>516</v>
      </c>
      <c r="CH293" s="105">
        <v>0.05</v>
      </c>
      <c r="CI293" s="105">
        <v>0.3</v>
      </c>
      <c r="CJ293" s="104" t="s">
        <v>385</v>
      </c>
      <c r="CK293" s="144"/>
      <c r="CN293" s="144"/>
      <c r="CO293" s="144"/>
      <c r="CP293" s="144"/>
      <c r="CQ293" s="145"/>
      <c r="CR293" s="144"/>
      <c r="CS293" s="102"/>
      <c r="CT293" s="147"/>
      <c r="CU293" s="145"/>
      <c r="CV293" s="145"/>
      <c r="CW293" s="145"/>
      <c r="CX293" s="144"/>
      <c r="CY293" s="144"/>
      <c r="CZ293" s="145"/>
      <c r="DA293" s="145"/>
      <c r="DB293" s="145"/>
      <c r="DC293" s="145"/>
      <c r="DD293" s="144"/>
      <c r="DE293" s="144"/>
      <c r="DF293" s="145"/>
      <c r="DG293" s="145"/>
      <c r="DH293" s="145"/>
      <c r="DI293" s="145"/>
      <c r="DJ293" s="50"/>
      <c r="DK293" s="50">
        <v>0.35</v>
      </c>
    </row>
    <row r="294" spans="1:115" s="37" customFormat="1" ht="29.65" hidden="1" thickBot="1">
      <c r="A294" s="24"/>
      <c r="X294" s="74"/>
      <c r="AB294" s="75"/>
      <c r="AD294" s="78"/>
      <c r="AE294" s="78"/>
      <c r="AG294" s="78"/>
      <c r="AH294" s="80"/>
      <c r="AJ294" s="81"/>
      <c r="AL294" s="85"/>
      <c r="AM294" s="85"/>
      <c r="AO294" s="78"/>
      <c r="AR294" s="81"/>
      <c r="AW294" s="78"/>
      <c r="AZ294" s="81"/>
      <c r="BB294" s="78"/>
      <c r="BD294" s="78"/>
      <c r="BG294" s="81"/>
      <c r="BI294" s="78"/>
      <c r="BK294" s="78"/>
      <c r="BN294" s="81"/>
      <c r="BP294" s="78"/>
      <c r="BQ294" s="78"/>
      <c r="BS294" s="78"/>
      <c r="BV294" s="81"/>
      <c r="BX294" s="78"/>
      <c r="BZ294" s="78"/>
      <c r="CC294" s="117" t="s">
        <v>513</v>
      </c>
      <c r="CD294" s="118" t="s">
        <v>544</v>
      </c>
      <c r="CE294" s="99" t="s">
        <v>515</v>
      </c>
      <c r="CF294" s="103">
        <v>6.4999999999999997E-3</v>
      </c>
      <c r="CG294" s="99" t="s">
        <v>516</v>
      </c>
      <c r="CH294" s="105">
        <v>0.1</v>
      </c>
      <c r="CI294" s="105">
        <v>1</v>
      </c>
      <c r="CJ294" s="104" t="s">
        <v>397</v>
      </c>
      <c r="CK294" s="99" t="s">
        <v>545</v>
      </c>
      <c r="CL294" s="103">
        <f>150/1000000</f>
        <v>1.4999999999999999E-4</v>
      </c>
      <c r="CM294" s="96" t="s">
        <v>546</v>
      </c>
      <c r="CN294" s="105">
        <v>0.1</v>
      </c>
      <c r="CO294" s="105">
        <v>1</v>
      </c>
      <c r="CP294" s="104" t="s">
        <v>385</v>
      </c>
      <c r="CQ294" s="104" t="s">
        <v>397</v>
      </c>
      <c r="CR294" s="146">
        <f>AS285</f>
        <v>7.0266757116481365E-2</v>
      </c>
      <c r="CS294" s="96" t="s">
        <v>547</v>
      </c>
      <c r="CT294" s="105">
        <v>0.1</v>
      </c>
      <c r="CU294" s="105">
        <v>1</v>
      </c>
      <c r="CV294" s="104" t="s">
        <v>397</v>
      </c>
      <c r="CW294" s="48"/>
      <c r="CX294" s="46"/>
      <c r="CY294" s="46"/>
      <c r="CZ294" s="48"/>
      <c r="DA294" s="48"/>
      <c r="DB294" s="48"/>
      <c r="DC294" s="48"/>
      <c r="DD294" s="46"/>
      <c r="DE294" s="46"/>
      <c r="DF294" s="48"/>
      <c r="DG294" s="48"/>
      <c r="DH294" s="48"/>
      <c r="DI294" s="49"/>
      <c r="DJ294" s="50">
        <v>0.4</v>
      </c>
      <c r="DK294" s="50">
        <v>0.35</v>
      </c>
    </row>
    <row r="295" spans="1:115" s="37" customFormat="1" ht="29.65" hidden="1" thickBot="1">
      <c r="A295" s="24"/>
      <c r="X295" s="74"/>
      <c r="AB295" s="75"/>
      <c r="AD295" s="78"/>
      <c r="AE295" s="78"/>
      <c r="AG295" s="78"/>
      <c r="AH295" s="80"/>
      <c r="AJ295" s="81"/>
      <c r="AL295" s="85"/>
      <c r="AM295" s="85"/>
      <c r="AO295" s="78"/>
      <c r="AR295" s="81"/>
      <c r="AW295" s="78"/>
      <c r="AZ295" s="81"/>
      <c r="BB295" s="78"/>
      <c r="BD295" s="78"/>
      <c r="BG295" s="81"/>
      <c r="BI295" s="78"/>
      <c r="BK295" s="78"/>
      <c r="BN295" s="81"/>
      <c r="BP295" s="78"/>
      <c r="BQ295" s="78"/>
      <c r="BS295" s="78"/>
      <c r="BV295" s="81"/>
      <c r="BX295" s="78"/>
      <c r="BZ295" s="78"/>
      <c r="CC295" s="117" t="s">
        <v>513</v>
      </c>
      <c r="CD295" s="118" t="s">
        <v>548</v>
      </c>
      <c r="CE295" s="99" t="s">
        <v>515</v>
      </c>
      <c r="CF295" s="103">
        <f>0.2/1000000</f>
        <v>2.0000000000000002E-7</v>
      </c>
      <c r="CG295" s="99" t="s">
        <v>516</v>
      </c>
      <c r="CH295" s="105">
        <v>0.1</v>
      </c>
      <c r="CI295" s="105">
        <v>1</v>
      </c>
      <c r="CJ295" s="104" t="s">
        <v>397</v>
      </c>
      <c r="CK295" s="99" t="s">
        <v>545</v>
      </c>
      <c r="CL295" s="103">
        <f>47/1000000</f>
        <v>4.6999999999999997E-5</v>
      </c>
      <c r="CM295" s="96" t="s">
        <v>546</v>
      </c>
      <c r="CN295" s="105">
        <v>0.1</v>
      </c>
      <c r="CO295" s="105">
        <v>1</v>
      </c>
      <c r="CP295" s="104" t="s">
        <v>385</v>
      </c>
      <c r="CQ295" s="104" t="s">
        <v>397</v>
      </c>
      <c r="CR295" s="146">
        <f>AS280</f>
        <v>0.12114958123531271</v>
      </c>
      <c r="CS295" s="96" t="s">
        <v>547</v>
      </c>
      <c r="CT295" s="105">
        <v>0.1</v>
      </c>
      <c r="CU295" s="105">
        <v>1</v>
      </c>
      <c r="CV295" s="104" t="s">
        <v>397</v>
      </c>
      <c r="CW295" s="48"/>
      <c r="CX295" s="46"/>
      <c r="CY295" s="46"/>
      <c r="CZ295" s="48"/>
      <c r="DA295" s="48"/>
      <c r="DB295" s="48"/>
      <c r="DC295" s="48"/>
      <c r="DD295" s="46"/>
      <c r="DE295" s="46"/>
      <c r="DF295" s="48"/>
      <c r="DG295" s="48"/>
      <c r="DH295" s="48"/>
      <c r="DI295" s="49"/>
      <c r="DJ295" s="50">
        <v>0.4</v>
      </c>
      <c r="DK295" s="50">
        <v>0.35</v>
      </c>
    </row>
    <row r="296" spans="1:115" s="37" customFormat="1" ht="29.65" hidden="1" thickBot="1">
      <c r="A296" s="24"/>
      <c r="X296" s="74"/>
      <c r="AB296" s="75"/>
      <c r="AD296" s="78"/>
      <c r="AE296" s="78"/>
      <c r="AG296" s="78"/>
      <c r="AH296" s="80"/>
      <c r="AJ296" s="81"/>
      <c r="AL296" s="85"/>
      <c r="AM296" s="85"/>
      <c r="AO296" s="78"/>
      <c r="AR296" s="81"/>
      <c r="AW296" s="78"/>
      <c r="AZ296" s="81"/>
      <c r="BB296" s="78"/>
      <c r="BD296" s="78"/>
      <c r="BG296" s="81"/>
      <c r="BI296" s="78"/>
      <c r="BK296" s="78"/>
      <c r="BN296" s="81"/>
      <c r="BP296" s="78"/>
      <c r="BQ296" s="78"/>
      <c r="BS296" s="78"/>
      <c r="BV296" s="81"/>
      <c r="BX296" s="78"/>
      <c r="BZ296" s="78"/>
      <c r="CC296" s="117" t="s">
        <v>513</v>
      </c>
      <c r="CD296" s="118" t="s">
        <v>549</v>
      </c>
      <c r="CE296" s="99" t="s">
        <v>515</v>
      </c>
      <c r="CF296" s="103">
        <v>0</v>
      </c>
      <c r="CG296" s="99" t="s">
        <v>516</v>
      </c>
      <c r="CH296" s="105">
        <v>0.1</v>
      </c>
      <c r="CI296" s="105">
        <v>1</v>
      </c>
      <c r="CJ296" s="104" t="s">
        <v>397</v>
      </c>
      <c r="CK296" s="99" t="s">
        <v>545</v>
      </c>
      <c r="CL296" s="103">
        <f>67/1000000</f>
        <v>6.7000000000000002E-5</v>
      </c>
      <c r="CM296" s="96" t="s">
        <v>546</v>
      </c>
      <c r="CN296" s="105">
        <v>0.1</v>
      </c>
      <c r="CO296" s="105">
        <v>1</v>
      </c>
      <c r="CP296" s="104" t="s">
        <v>385</v>
      </c>
      <c r="CQ296" s="104" t="s">
        <v>397</v>
      </c>
      <c r="CR296" s="146">
        <f>CR295</f>
        <v>0.12114958123531271</v>
      </c>
      <c r="CS296" s="96" t="s">
        <v>547</v>
      </c>
      <c r="CT296" s="105">
        <v>0.1</v>
      </c>
      <c r="CU296" s="105">
        <v>1</v>
      </c>
      <c r="CV296" s="104" t="s">
        <v>397</v>
      </c>
      <c r="CW296" s="48"/>
      <c r="CX296" s="46"/>
      <c r="CY296" s="46"/>
      <c r="CZ296" s="48"/>
      <c r="DA296" s="48"/>
      <c r="DB296" s="48"/>
      <c r="DC296" s="48"/>
      <c r="DD296" s="46"/>
      <c r="DE296" s="46"/>
      <c r="DF296" s="48"/>
      <c r="DG296" s="48"/>
      <c r="DH296" s="48"/>
      <c r="DI296" s="49"/>
      <c r="DJ296" s="50">
        <v>0.4</v>
      </c>
      <c r="DK296" s="50">
        <v>0.35</v>
      </c>
    </row>
    <row r="297" spans="1:115" s="37" customFormat="1" ht="29.65" hidden="1" thickBot="1">
      <c r="A297" s="24"/>
      <c r="X297" s="74"/>
      <c r="AB297" s="75"/>
      <c r="AD297" s="78"/>
      <c r="AE297" s="78"/>
      <c r="AG297" s="78"/>
      <c r="AH297" s="80"/>
      <c r="AJ297" s="81"/>
      <c r="AL297" s="85"/>
      <c r="AM297" s="85"/>
      <c r="AO297" s="78"/>
      <c r="AR297" s="81"/>
      <c r="AW297" s="78"/>
      <c r="AZ297" s="81"/>
      <c r="BB297" s="78"/>
      <c r="BD297" s="78"/>
      <c r="BG297" s="81"/>
      <c r="BI297" s="78"/>
      <c r="BK297" s="78"/>
      <c r="BN297" s="81"/>
      <c r="BP297" s="78"/>
      <c r="BQ297" s="78"/>
      <c r="BS297" s="78"/>
      <c r="BV297" s="81"/>
      <c r="BX297" s="78"/>
      <c r="BZ297" s="78"/>
      <c r="CC297" s="117" t="s">
        <v>513</v>
      </c>
      <c r="CD297" s="118" t="s">
        <v>550</v>
      </c>
      <c r="CE297" s="99" t="s">
        <v>515</v>
      </c>
      <c r="CF297" s="103">
        <f>60/1000000</f>
        <v>6.0000000000000002E-5</v>
      </c>
      <c r="CG297" s="99" t="s">
        <v>516</v>
      </c>
      <c r="CH297" s="105">
        <v>0.1</v>
      </c>
      <c r="CI297" s="105">
        <v>1</v>
      </c>
      <c r="CJ297" s="104" t="s">
        <v>397</v>
      </c>
      <c r="CK297" s="99" t="s">
        <v>545</v>
      </c>
      <c r="CL297" s="103">
        <f>56/1000000</f>
        <v>5.5999999999999999E-5</v>
      </c>
      <c r="CM297" s="96" t="s">
        <v>546</v>
      </c>
      <c r="CN297" s="105">
        <v>0.1</v>
      </c>
      <c r="CO297" s="105">
        <v>1</v>
      </c>
      <c r="CP297" s="104" t="s">
        <v>385</v>
      </c>
      <c r="CQ297" s="104" t="s">
        <v>397</v>
      </c>
      <c r="CR297" s="146">
        <f>CR296</f>
        <v>0.12114958123531271</v>
      </c>
      <c r="CS297" s="96" t="s">
        <v>547</v>
      </c>
      <c r="CT297" s="105">
        <v>0.1</v>
      </c>
      <c r="CU297" s="105">
        <v>1</v>
      </c>
      <c r="CV297" s="104" t="s">
        <v>397</v>
      </c>
      <c r="CW297" s="48"/>
      <c r="CX297" s="46"/>
      <c r="CY297" s="46"/>
      <c r="CZ297" s="48"/>
      <c r="DA297" s="48"/>
      <c r="DB297" s="48"/>
      <c r="DC297" s="48"/>
      <c r="DD297" s="46"/>
      <c r="DE297" s="46"/>
      <c r="DF297" s="48"/>
      <c r="DG297" s="48"/>
      <c r="DH297" s="48"/>
      <c r="DI297" s="49"/>
      <c r="DJ297" s="50">
        <v>0.4</v>
      </c>
      <c r="DK297" s="50">
        <v>0.35</v>
      </c>
    </row>
    <row r="298" spans="1:115" s="37" customFormat="1" ht="29.65" hidden="1" thickBot="1">
      <c r="A298" s="24"/>
      <c r="X298" s="74"/>
      <c r="AB298" s="75"/>
      <c r="AD298" s="78"/>
      <c r="AE298" s="78"/>
      <c r="AG298" s="78"/>
      <c r="AH298" s="80"/>
      <c r="AJ298" s="81"/>
      <c r="AL298" s="85"/>
      <c r="AM298" s="85"/>
      <c r="AO298" s="78"/>
      <c r="AR298" s="81"/>
      <c r="AW298" s="78"/>
      <c r="AZ298" s="81"/>
      <c r="BB298" s="78"/>
      <c r="BD298" s="78"/>
      <c r="BG298" s="81"/>
      <c r="BI298" s="78"/>
      <c r="BK298" s="78"/>
      <c r="BN298" s="81"/>
      <c r="BP298" s="78"/>
      <c r="BQ298" s="78"/>
      <c r="BS298" s="78"/>
      <c r="BV298" s="81"/>
      <c r="BX298" s="78"/>
      <c r="BZ298" s="78"/>
      <c r="CC298" s="117" t="s">
        <v>513</v>
      </c>
      <c r="CD298" s="118" t="s">
        <v>551</v>
      </c>
      <c r="CE298" s="99" t="s">
        <v>515</v>
      </c>
      <c r="CF298" s="103">
        <f>237/1000000</f>
        <v>2.3699999999999999E-4</v>
      </c>
      <c r="CG298" s="99" t="s">
        <v>516</v>
      </c>
      <c r="CH298" s="105">
        <v>0.1</v>
      </c>
      <c r="CI298" s="105">
        <v>1</v>
      </c>
      <c r="CJ298" s="104" t="s">
        <v>397</v>
      </c>
      <c r="CK298" s="99" t="s">
        <v>545</v>
      </c>
      <c r="CL298" s="103">
        <f>221/1000000</f>
        <v>2.2100000000000001E-4</v>
      </c>
      <c r="CM298" s="96" t="s">
        <v>546</v>
      </c>
      <c r="CN298" s="105">
        <v>0.1</v>
      </c>
      <c r="CO298" s="105">
        <v>1</v>
      </c>
      <c r="CP298" s="104" t="s">
        <v>385</v>
      </c>
      <c r="CQ298" s="104" t="s">
        <v>397</v>
      </c>
      <c r="CR298" s="146">
        <f>CR297</f>
        <v>0.12114958123531271</v>
      </c>
      <c r="CS298" s="96" t="s">
        <v>547</v>
      </c>
      <c r="CT298" s="105">
        <v>0.1</v>
      </c>
      <c r="CU298" s="105">
        <v>1</v>
      </c>
      <c r="CV298" s="104" t="s">
        <v>397</v>
      </c>
      <c r="CW298" s="48"/>
      <c r="CX298" s="46"/>
      <c r="CY298" s="46"/>
      <c r="CZ298" s="48"/>
      <c r="DA298" s="48"/>
      <c r="DB298" s="48"/>
      <c r="DC298" s="48"/>
      <c r="DD298" s="46"/>
      <c r="DE298" s="46"/>
      <c r="DF298" s="48"/>
      <c r="DG298" s="48"/>
      <c r="DH298" s="48"/>
      <c r="DI298" s="49"/>
      <c r="DJ298" s="50">
        <v>0.4</v>
      </c>
      <c r="DK298" s="50">
        <v>0.35</v>
      </c>
    </row>
    <row r="299" spans="1:115" s="37" customFormat="1" ht="29.65" hidden="1" thickBot="1">
      <c r="A299" s="24"/>
      <c r="X299" s="74"/>
      <c r="AB299" s="75"/>
      <c r="AD299" s="78"/>
      <c r="AE299" s="78"/>
      <c r="AG299" s="78"/>
      <c r="AH299" s="80"/>
      <c r="AJ299" s="81"/>
      <c r="AL299" s="85"/>
      <c r="AM299" s="85"/>
      <c r="AO299" s="78"/>
      <c r="AR299" s="81"/>
      <c r="AW299" s="78"/>
      <c r="AZ299" s="81"/>
      <c r="BB299" s="78"/>
      <c r="BD299" s="78"/>
      <c r="BG299" s="81"/>
      <c r="BI299" s="78"/>
      <c r="BK299" s="78"/>
      <c r="BN299" s="81"/>
      <c r="BP299" s="78"/>
      <c r="BQ299" s="78"/>
      <c r="BS299" s="78"/>
      <c r="BV299" s="81"/>
      <c r="BX299" s="78"/>
      <c r="BZ299" s="78"/>
      <c r="CC299" s="117" t="s">
        <v>513</v>
      </c>
      <c r="CD299" s="118" t="s">
        <v>552</v>
      </c>
      <c r="CE299" s="99" t="s">
        <v>515</v>
      </c>
      <c r="CF299" s="103">
        <f>0.2/1000000</f>
        <v>2.0000000000000002E-7</v>
      </c>
      <c r="CG299" s="99" t="s">
        <v>516</v>
      </c>
      <c r="CH299" s="105">
        <v>0.1</v>
      </c>
      <c r="CI299" s="105">
        <v>1</v>
      </c>
      <c r="CJ299" s="104" t="s">
        <v>397</v>
      </c>
      <c r="CK299" s="99" t="s">
        <v>545</v>
      </c>
      <c r="CL299" s="103">
        <f>100/1000000</f>
        <v>1E-4</v>
      </c>
      <c r="CM299" s="96" t="s">
        <v>546</v>
      </c>
      <c r="CN299" s="105">
        <v>0.1</v>
      </c>
      <c r="CO299" s="105">
        <v>1</v>
      </c>
      <c r="CP299" s="104" t="s">
        <v>385</v>
      </c>
      <c r="CQ299" s="104" t="s">
        <v>397</v>
      </c>
      <c r="CR299" s="146">
        <f>AS283</f>
        <v>0.97350000000000014</v>
      </c>
      <c r="CS299" s="96" t="s">
        <v>547</v>
      </c>
      <c r="CT299" s="105">
        <v>0.1</v>
      </c>
      <c r="CU299" s="105">
        <v>1</v>
      </c>
      <c r="CV299" s="104" t="s">
        <v>397</v>
      </c>
      <c r="CW299" s="48"/>
      <c r="CX299" s="46"/>
      <c r="CY299" s="46"/>
      <c r="CZ299" s="48"/>
      <c r="DA299" s="48"/>
      <c r="DB299" s="48"/>
      <c r="DC299" s="48"/>
      <c r="DD299" s="46"/>
      <c r="DE299" s="46"/>
      <c r="DF299" s="48"/>
      <c r="DG299" s="48"/>
      <c r="DH299" s="48"/>
      <c r="DI299" s="49"/>
      <c r="DJ299" s="50">
        <v>0.4</v>
      </c>
      <c r="DK299" s="50">
        <v>0.35</v>
      </c>
    </row>
    <row r="300" spans="1:115" s="37" customFormat="1" ht="29.65" hidden="1" thickBot="1">
      <c r="A300" s="24"/>
      <c r="X300" s="74"/>
      <c r="AB300" s="75"/>
      <c r="AD300" s="78"/>
      <c r="AE300" s="78"/>
      <c r="AG300" s="78"/>
      <c r="AH300" s="80"/>
      <c r="AJ300" s="81"/>
      <c r="AL300" s="85"/>
      <c r="AM300" s="85"/>
      <c r="AO300" s="78"/>
      <c r="AR300" s="81"/>
      <c r="AW300" s="78"/>
      <c r="AZ300" s="81"/>
      <c r="BB300" s="78"/>
      <c r="BD300" s="78"/>
      <c r="BG300" s="81"/>
      <c r="BI300" s="78"/>
      <c r="BK300" s="78"/>
      <c r="BN300" s="81"/>
      <c r="BP300" s="78"/>
      <c r="BQ300" s="78"/>
      <c r="BS300" s="78"/>
      <c r="BV300" s="81"/>
      <c r="BX300" s="78"/>
      <c r="BZ300" s="78"/>
      <c r="CC300" s="117" t="s">
        <v>513</v>
      </c>
      <c r="CD300" s="118" t="s">
        <v>553</v>
      </c>
      <c r="CE300" s="99" t="s">
        <v>515</v>
      </c>
      <c r="CF300" s="103">
        <v>0</v>
      </c>
      <c r="CG300" s="99" t="s">
        <v>516</v>
      </c>
      <c r="CH300" s="105">
        <v>0.1</v>
      </c>
      <c r="CI300" s="105">
        <v>1</v>
      </c>
      <c r="CJ300" s="104" t="s">
        <v>397</v>
      </c>
      <c r="CK300" s="99" t="s">
        <v>545</v>
      </c>
      <c r="CL300" s="103">
        <f t="shared" ref="CL300:CL302" si="590">100/1000000</f>
        <v>1E-4</v>
      </c>
      <c r="CM300" s="96" t="s">
        <v>546</v>
      </c>
      <c r="CN300" s="105">
        <v>0.1</v>
      </c>
      <c r="CO300" s="105">
        <v>1</v>
      </c>
      <c r="CP300" s="104" t="s">
        <v>385</v>
      </c>
      <c r="CQ300" s="104" t="s">
        <v>397</v>
      </c>
      <c r="CR300" s="146">
        <f>CR299</f>
        <v>0.97350000000000014</v>
      </c>
      <c r="CS300" s="96" t="s">
        <v>547</v>
      </c>
      <c r="CT300" s="105">
        <v>0.1</v>
      </c>
      <c r="CU300" s="105">
        <v>1</v>
      </c>
      <c r="CV300" s="104" t="s">
        <v>397</v>
      </c>
      <c r="CW300" s="48"/>
      <c r="CX300" s="46"/>
      <c r="CY300" s="46"/>
      <c r="CZ300" s="48"/>
      <c r="DA300" s="48"/>
      <c r="DB300" s="48"/>
      <c r="DC300" s="48"/>
      <c r="DD300" s="46"/>
      <c r="DE300" s="46"/>
      <c r="DF300" s="48"/>
      <c r="DG300" s="48"/>
      <c r="DH300" s="48"/>
      <c r="DI300" s="49"/>
      <c r="DJ300" s="50">
        <v>0.4</v>
      </c>
      <c r="DK300" s="50">
        <v>0.35</v>
      </c>
    </row>
    <row r="301" spans="1:115" s="37" customFormat="1" ht="29.65" hidden="1" thickBot="1">
      <c r="A301" s="24"/>
      <c r="X301" s="74"/>
      <c r="AB301" s="75"/>
      <c r="AD301" s="78"/>
      <c r="AE301" s="78"/>
      <c r="AG301" s="78"/>
      <c r="AH301" s="80"/>
      <c r="AJ301" s="81"/>
      <c r="AL301" s="85"/>
      <c r="AM301" s="85"/>
      <c r="AO301" s="78"/>
      <c r="AR301" s="81"/>
      <c r="AW301" s="78"/>
      <c r="AZ301" s="81"/>
      <c r="BB301" s="78"/>
      <c r="BD301" s="78"/>
      <c r="BG301" s="81"/>
      <c r="BI301" s="78"/>
      <c r="BK301" s="78"/>
      <c r="BN301" s="81"/>
      <c r="BP301" s="78"/>
      <c r="BQ301" s="78"/>
      <c r="BS301" s="78"/>
      <c r="BV301" s="81"/>
      <c r="BX301" s="78"/>
      <c r="BZ301" s="78"/>
      <c r="CC301" s="117" t="s">
        <v>513</v>
      </c>
      <c r="CD301" s="118" t="s">
        <v>554</v>
      </c>
      <c r="CE301" s="99" t="s">
        <v>515</v>
      </c>
      <c r="CF301" s="103">
        <f>60/1000000</f>
        <v>6.0000000000000002E-5</v>
      </c>
      <c r="CG301" s="99" t="s">
        <v>516</v>
      </c>
      <c r="CH301" s="105">
        <v>0.1</v>
      </c>
      <c r="CI301" s="105">
        <v>1</v>
      </c>
      <c r="CJ301" s="104" t="s">
        <v>397</v>
      </c>
      <c r="CK301" s="99" t="s">
        <v>545</v>
      </c>
      <c r="CL301" s="103">
        <f t="shared" si="590"/>
        <v>1E-4</v>
      </c>
      <c r="CM301" s="96" t="s">
        <v>546</v>
      </c>
      <c r="CN301" s="105">
        <v>0.1</v>
      </c>
      <c r="CO301" s="105">
        <v>1</v>
      </c>
      <c r="CP301" s="104" t="s">
        <v>385</v>
      </c>
      <c r="CQ301" s="104" t="s">
        <v>397</v>
      </c>
      <c r="CR301" s="146">
        <f>CR300</f>
        <v>0.97350000000000014</v>
      </c>
      <c r="CS301" s="96" t="s">
        <v>547</v>
      </c>
      <c r="CT301" s="105">
        <v>0.1</v>
      </c>
      <c r="CU301" s="105">
        <v>1</v>
      </c>
      <c r="CV301" s="104" t="s">
        <v>397</v>
      </c>
      <c r="CW301" s="48"/>
      <c r="CX301" s="46"/>
      <c r="CY301" s="46"/>
      <c r="CZ301" s="48"/>
      <c r="DA301" s="48"/>
      <c r="DB301" s="48"/>
      <c r="DC301" s="48"/>
      <c r="DD301" s="46"/>
      <c r="DE301" s="46"/>
      <c r="DF301" s="48"/>
      <c r="DG301" s="48"/>
      <c r="DH301" s="48"/>
      <c r="DI301" s="49"/>
      <c r="DJ301" s="50">
        <v>0.4</v>
      </c>
      <c r="DK301" s="50">
        <v>0.35</v>
      </c>
    </row>
    <row r="302" spans="1:115" s="37" customFormat="1" ht="29.65" hidden="1" thickBot="1">
      <c r="A302" s="24"/>
      <c r="X302" s="74"/>
      <c r="AB302" s="75"/>
      <c r="AD302" s="78"/>
      <c r="AE302" s="78"/>
      <c r="AG302" s="78"/>
      <c r="AH302" s="80"/>
      <c r="AJ302" s="81"/>
      <c r="AL302" s="85"/>
      <c r="AM302" s="85"/>
      <c r="AO302" s="78"/>
      <c r="AR302" s="81"/>
      <c r="AW302" s="78"/>
      <c r="AZ302" s="81"/>
      <c r="BB302" s="78"/>
      <c r="BD302" s="78"/>
      <c r="BG302" s="81"/>
      <c r="BI302" s="78"/>
      <c r="BK302" s="78"/>
      <c r="BN302" s="81"/>
      <c r="BP302" s="78"/>
      <c r="BQ302" s="78"/>
      <c r="BS302" s="78"/>
      <c r="BV302" s="81"/>
      <c r="BX302" s="78"/>
      <c r="BZ302" s="78"/>
      <c r="CC302" s="117" t="s">
        <v>513</v>
      </c>
      <c r="CD302" s="118" t="s">
        <v>555</v>
      </c>
      <c r="CE302" s="99" t="s">
        <v>515</v>
      </c>
      <c r="CF302" s="103">
        <f>237/1000000</f>
        <v>2.3699999999999999E-4</v>
      </c>
      <c r="CG302" s="99" t="s">
        <v>516</v>
      </c>
      <c r="CH302" s="105">
        <v>0.1</v>
      </c>
      <c r="CI302" s="105">
        <v>1</v>
      </c>
      <c r="CJ302" s="104" t="s">
        <v>397</v>
      </c>
      <c r="CK302" s="99" t="s">
        <v>545</v>
      </c>
      <c r="CL302" s="103">
        <f t="shared" si="590"/>
        <v>1E-4</v>
      </c>
      <c r="CM302" s="96" t="s">
        <v>546</v>
      </c>
      <c r="CN302" s="105">
        <v>0.1</v>
      </c>
      <c r="CO302" s="105">
        <v>1</v>
      </c>
      <c r="CP302" s="104" t="s">
        <v>385</v>
      </c>
      <c r="CQ302" s="104" t="s">
        <v>397</v>
      </c>
      <c r="CR302" s="146">
        <f>CR301</f>
        <v>0.97350000000000014</v>
      </c>
      <c r="CS302" s="96" t="s">
        <v>547</v>
      </c>
      <c r="CT302" s="105">
        <v>0.1</v>
      </c>
      <c r="CU302" s="105">
        <v>1</v>
      </c>
      <c r="CV302" s="104" t="s">
        <v>397</v>
      </c>
      <c r="CW302" s="48"/>
      <c r="CX302" s="46"/>
      <c r="CY302" s="46"/>
      <c r="CZ302" s="48"/>
      <c r="DA302" s="48"/>
      <c r="DB302" s="48"/>
      <c r="DC302" s="48"/>
      <c r="DD302" s="46"/>
      <c r="DE302" s="46"/>
      <c r="DF302" s="48"/>
      <c r="DG302" s="48"/>
      <c r="DH302" s="48"/>
      <c r="DI302" s="49"/>
      <c r="DJ302" s="50">
        <v>0.4</v>
      </c>
      <c r="DK302" s="50">
        <v>0.35</v>
      </c>
    </row>
    <row r="303" spans="1:115" s="37" customFormat="1" ht="29.65" hidden="1" thickBot="1">
      <c r="A303" s="24"/>
      <c r="X303" s="74"/>
      <c r="AB303" s="75"/>
      <c r="AD303" s="78"/>
      <c r="AE303" s="78"/>
      <c r="AG303" s="78"/>
      <c r="AH303" s="80"/>
      <c r="AJ303" s="81"/>
      <c r="AL303" s="85"/>
      <c r="AM303" s="85"/>
      <c r="AO303" s="78"/>
      <c r="AR303" s="81"/>
      <c r="AW303" s="78"/>
      <c r="AZ303" s="81"/>
      <c r="BB303" s="78"/>
      <c r="BD303" s="78"/>
      <c r="BG303" s="81"/>
      <c r="BI303" s="78"/>
      <c r="BK303" s="78"/>
      <c r="BN303" s="81"/>
      <c r="BP303" s="78"/>
      <c r="BQ303" s="78"/>
      <c r="BS303" s="78"/>
      <c r="BV303" s="81"/>
      <c r="BX303" s="78"/>
      <c r="BZ303" s="78"/>
      <c r="CC303" s="117" t="s">
        <v>513</v>
      </c>
      <c r="CD303" s="118" t="s">
        <v>556</v>
      </c>
      <c r="CE303" s="99" t="s">
        <v>515</v>
      </c>
      <c r="CF303" s="103">
        <f>0.2/1000000</f>
        <v>2.0000000000000002E-7</v>
      </c>
      <c r="CG303" s="99" t="s">
        <v>516</v>
      </c>
      <c r="CH303" s="105">
        <v>0.1</v>
      </c>
      <c r="CI303" s="105">
        <v>1</v>
      </c>
      <c r="CJ303" s="104" t="s">
        <v>397</v>
      </c>
      <c r="CK303" s="99" t="s">
        <v>545</v>
      </c>
      <c r="CL303" s="103">
        <f>47/1000000</f>
        <v>4.6999999999999997E-5</v>
      </c>
      <c r="CM303" s="96" t="s">
        <v>546</v>
      </c>
      <c r="CN303" s="105">
        <v>0.1</v>
      </c>
      <c r="CO303" s="105">
        <v>1</v>
      </c>
      <c r="CP303" s="104" t="s">
        <v>385</v>
      </c>
      <c r="CQ303" s="104" t="s">
        <v>397</v>
      </c>
      <c r="CR303" s="146">
        <f>AS282</f>
        <v>0.48532000000000003</v>
      </c>
      <c r="CS303" s="96" t="s">
        <v>547</v>
      </c>
      <c r="CT303" s="105">
        <v>0.1</v>
      </c>
      <c r="CU303" s="105">
        <v>1</v>
      </c>
      <c r="CV303" s="104" t="s">
        <v>397</v>
      </c>
      <c r="CW303" s="48"/>
      <c r="CX303" s="46"/>
      <c r="CY303" s="46"/>
      <c r="CZ303" s="48"/>
      <c r="DA303" s="48"/>
      <c r="DB303" s="48"/>
      <c r="DC303" s="48"/>
      <c r="DD303" s="46"/>
      <c r="DE303" s="46"/>
      <c r="DF303" s="48"/>
      <c r="DG303" s="48"/>
      <c r="DH303" s="48"/>
      <c r="DI303" s="49"/>
      <c r="DJ303" s="50">
        <v>0.4</v>
      </c>
      <c r="DK303" s="50">
        <v>0.35</v>
      </c>
    </row>
    <row r="304" spans="1:115" s="37" customFormat="1" ht="29.65" hidden="1" thickBot="1">
      <c r="A304" s="24"/>
      <c r="X304" s="74"/>
      <c r="AB304" s="75"/>
      <c r="AD304" s="78"/>
      <c r="AE304" s="78"/>
      <c r="AG304" s="78"/>
      <c r="AH304" s="80"/>
      <c r="AJ304" s="81"/>
      <c r="AL304" s="85"/>
      <c r="AM304" s="85"/>
      <c r="AO304" s="78"/>
      <c r="AR304" s="81"/>
      <c r="AW304" s="78"/>
      <c r="AZ304" s="81"/>
      <c r="BB304" s="78"/>
      <c r="BD304" s="78"/>
      <c r="BG304" s="81"/>
      <c r="BI304" s="78"/>
      <c r="BK304" s="78"/>
      <c r="BN304" s="81"/>
      <c r="BP304" s="78"/>
      <c r="BQ304" s="78"/>
      <c r="BS304" s="78"/>
      <c r="BV304" s="81"/>
      <c r="BX304" s="78"/>
      <c r="BZ304" s="78"/>
      <c r="CC304" s="117" t="s">
        <v>513</v>
      </c>
      <c r="CD304" s="118" t="s">
        <v>557</v>
      </c>
      <c r="CE304" s="99" t="s">
        <v>515</v>
      </c>
      <c r="CF304" s="103">
        <v>0</v>
      </c>
      <c r="CG304" s="99" t="s">
        <v>516</v>
      </c>
      <c r="CH304" s="105">
        <v>0.1</v>
      </c>
      <c r="CI304" s="105">
        <v>1</v>
      </c>
      <c r="CJ304" s="104" t="s">
        <v>397</v>
      </c>
      <c r="CK304" s="99" t="s">
        <v>545</v>
      </c>
      <c r="CL304" s="103">
        <f>67/1000000</f>
        <v>6.7000000000000002E-5</v>
      </c>
      <c r="CM304" s="96" t="s">
        <v>546</v>
      </c>
      <c r="CN304" s="105">
        <v>0.1</v>
      </c>
      <c r="CO304" s="105">
        <v>1</v>
      </c>
      <c r="CP304" s="104" t="s">
        <v>385</v>
      </c>
      <c r="CQ304" s="104" t="s">
        <v>397</v>
      </c>
      <c r="CR304" s="146">
        <f>CR303</f>
        <v>0.48532000000000003</v>
      </c>
      <c r="CS304" s="96" t="s">
        <v>547</v>
      </c>
      <c r="CT304" s="105">
        <v>0.1</v>
      </c>
      <c r="CU304" s="105">
        <v>1</v>
      </c>
      <c r="CV304" s="104" t="s">
        <v>397</v>
      </c>
      <c r="CW304" s="48"/>
      <c r="CX304" s="46"/>
      <c r="CY304" s="46"/>
      <c r="CZ304" s="48"/>
      <c r="DA304" s="48"/>
      <c r="DB304" s="48"/>
      <c r="DC304" s="48"/>
      <c r="DD304" s="46"/>
      <c r="DE304" s="46"/>
      <c r="DF304" s="48"/>
      <c r="DG304" s="48"/>
      <c r="DH304" s="48"/>
      <c r="DI304" s="49"/>
      <c r="DJ304" s="50">
        <v>0.4</v>
      </c>
      <c r="DK304" s="50">
        <v>0.35</v>
      </c>
    </row>
    <row r="305" spans="1:131" s="37" customFormat="1" ht="29.65" hidden="1" thickBot="1">
      <c r="A305" s="24"/>
      <c r="X305" s="74"/>
      <c r="AB305" s="75"/>
      <c r="AD305" s="78"/>
      <c r="AE305" s="78"/>
      <c r="AG305" s="78"/>
      <c r="AH305" s="80"/>
      <c r="AJ305" s="81"/>
      <c r="AL305" s="85"/>
      <c r="AM305" s="85"/>
      <c r="AO305" s="78"/>
      <c r="AR305" s="81"/>
      <c r="AW305" s="78"/>
      <c r="AZ305" s="81"/>
      <c r="BB305" s="78"/>
      <c r="BD305" s="78"/>
      <c r="BG305" s="81"/>
      <c r="BI305" s="78"/>
      <c r="BK305" s="78"/>
      <c r="BN305" s="81"/>
      <c r="BP305" s="78"/>
      <c r="BQ305" s="78"/>
      <c r="BS305" s="78"/>
      <c r="BV305" s="81"/>
      <c r="BX305" s="78"/>
      <c r="BZ305" s="78"/>
      <c r="CC305" s="117" t="s">
        <v>513</v>
      </c>
      <c r="CD305" s="118" t="s">
        <v>558</v>
      </c>
      <c r="CE305" s="99" t="s">
        <v>515</v>
      </c>
      <c r="CF305" s="103">
        <f>60/1000000</f>
        <v>6.0000000000000002E-5</v>
      </c>
      <c r="CG305" s="99" t="s">
        <v>516</v>
      </c>
      <c r="CH305" s="105">
        <v>0.1</v>
      </c>
      <c r="CI305" s="105">
        <v>1</v>
      </c>
      <c r="CJ305" s="104" t="s">
        <v>397</v>
      </c>
      <c r="CK305" s="99" t="s">
        <v>545</v>
      </c>
      <c r="CL305" s="103">
        <f>56/1000000</f>
        <v>5.5999999999999999E-5</v>
      </c>
      <c r="CM305" s="96" t="s">
        <v>546</v>
      </c>
      <c r="CN305" s="105">
        <v>0.1</v>
      </c>
      <c r="CO305" s="105">
        <v>1</v>
      </c>
      <c r="CP305" s="104" t="s">
        <v>385</v>
      </c>
      <c r="CQ305" s="104" t="s">
        <v>397</v>
      </c>
      <c r="CR305" s="146">
        <f>CR304</f>
        <v>0.48532000000000003</v>
      </c>
      <c r="CS305" s="96" t="s">
        <v>547</v>
      </c>
      <c r="CT305" s="105">
        <v>0.1</v>
      </c>
      <c r="CU305" s="105">
        <v>1</v>
      </c>
      <c r="CV305" s="104" t="s">
        <v>397</v>
      </c>
      <c r="CW305" s="48"/>
      <c r="CX305" s="46"/>
      <c r="CY305" s="46"/>
      <c r="CZ305" s="48"/>
      <c r="DA305" s="48"/>
      <c r="DB305" s="48"/>
      <c r="DC305" s="48"/>
      <c r="DD305" s="46"/>
      <c r="DE305" s="46"/>
      <c r="DF305" s="48"/>
      <c r="DG305" s="48"/>
      <c r="DH305" s="48"/>
      <c r="DI305" s="49"/>
      <c r="DJ305" s="50">
        <v>0.4</v>
      </c>
      <c r="DK305" s="50">
        <v>0.35</v>
      </c>
    </row>
    <row r="306" spans="1:131" s="37" customFormat="1" ht="29.65" hidden="1" thickBot="1">
      <c r="A306" s="24"/>
      <c r="X306" s="74"/>
      <c r="AB306" s="75"/>
      <c r="AD306" s="78"/>
      <c r="AE306" s="78"/>
      <c r="AG306" s="78"/>
      <c r="AH306" s="80"/>
      <c r="AJ306" s="81"/>
      <c r="AL306" s="85"/>
      <c r="AM306" s="85"/>
      <c r="AO306" s="78"/>
      <c r="AR306" s="81"/>
      <c r="AW306" s="78"/>
      <c r="AZ306" s="81"/>
      <c r="BB306" s="78"/>
      <c r="BD306" s="78"/>
      <c r="BG306" s="81"/>
      <c r="BI306" s="78"/>
      <c r="BK306" s="78"/>
      <c r="BN306" s="81"/>
      <c r="BP306" s="78"/>
      <c r="BQ306" s="78"/>
      <c r="BS306" s="78"/>
      <c r="BV306" s="81"/>
      <c r="BX306" s="78"/>
      <c r="BZ306" s="78"/>
      <c r="CC306" s="117" t="s">
        <v>513</v>
      </c>
      <c r="CD306" s="118" t="s">
        <v>559</v>
      </c>
      <c r="CE306" s="99" t="s">
        <v>515</v>
      </c>
      <c r="CF306" s="103">
        <f>237/1000000</f>
        <v>2.3699999999999999E-4</v>
      </c>
      <c r="CG306" s="99" t="s">
        <v>516</v>
      </c>
      <c r="CH306" s="105">
        <v>0.1</v>
      </c>
      <c r="CI306" s="105">
        <v>1</v>
      </c>
      <c r="CJ306" s="104" t="s">
        <v>397</v>
      </c>
      <c r="CK306" s="99" t="s">
        <v>545</v>
      </c>
      <c r="CL306" s="103">
        <f>221/1000000</f>
        <v>2.2100000000000001E-4</v>
      </c>
      <c r="CM306" s="96" t="s">
        <v>546</v>
      </c>
      <c r="CN306" s="105">
        <v>0.1</v>
      </c>
      <c r="CO306" s="105">
        <v>1</v>
      </c>
      <c r="CP306" s="104" t="s">
        <v>385</v>
      </c>
      <c r="CQ306" s="104" t="s">
        <v>397</v>
      </c>
      <c r="CR306" s="146">
        <f>CR305</f>
        <v>0.48532000000000003</v>
      </c>
      <c r="CS306" s="96" t="s">
        <v>547</v>
      </c>
      <c r="CT306" s="105">
        <v>0.1</v>
      </c>
      <c r="CU306" s="105">
        <v>1</v>
      </c>
      <c r="CV306" s="104" t="s">
        <v>397</v>
      </c>
      <c r="CW306" s="48"/>
      <c r="CX306" s="46"/>
      <c r="CY306" s="46"/>
      <c r="CZ306" s="48"/>
      <c r="DA306" s="48"/>
      <c r="DB306" s="48"/>
      <c r="DC306" s="48"/>
      <c r="DD306" s="46"/>
      <c r="DE306" s="46"/>
      <c r="DF306" s="48"/>
      <c r="DG306" s="48"/>
      <c r="DH306" s="48"/>
      <c r="DI306" s="49"/>
      <c r="DJ306" s="50">
        <v>0.4</v>
      </c>
      <c r="DK306" s="50">
        <v>0.35</v>
      </c>
    </row>
    <row r="307" spans="1:131" s="37" customFormat="1" ht="29.65" hidden="1" thickBot="1">
      <c r="A307" s="24"/>
      <c r="X307" s="74"/>
      <c r="AB307" s="75"/>
      <c r="AD307" s="78"/>
      <c r="AE307" s="78"/>
      <c r="AG307" s="78"/>
      <c r="AH307" s="80"/>
      <c r="AJ307" s="81"/>
      <c r="AL307" s="85"/>
      <c r="AM307" s="85"/>
      <c r="AO307" s="78"/>
      <c r="AR307" s="81"/>
      <c r="AW307" s="78"/>
      <c r="AZ307" s="81"/>
      <c r="BB307" s="78"/>
      <c r="BD307" s="78"/>
      <c r="BG307" s="81"/>
      <c r="BI307" s="78"/>
      <c r="BK307" s="78"/>
      <c r="BN307" s="81"/>
      <c r="BP307" s="78"/>
      <c r="BQ307" s="78"/>
      <c r="BS307" s="78"/>
      <c r="BV307" s="81"/>
      <c r="BX307" s="78"/>
      <c r="BZ307" s="78"/>
      <c r="CC307" s="117" t="s">
        <v>513</v>
      </c>
      <c r="CD307" s="118" t="s">
        <v>560</v>
      </c>
      <c r="CE307" s="99" t="s">
        <v>515</v>
      </c>
      <c r="CF307" s="103">
        <f>0.2/1000000</f>
        <v>2.0000000000000002E-7</v>
      </c>
      <c r="CG307" s="99" t="s">
        <v>516</v>
      </c>
      <c r="CH307" s="105">
        <v>0.1</v>
      </c>
      <c r="CI307" s="105">
        <v>1</v>
      </c>
      <c r="CJ307" s="104" t="s">
        <v>397</v>
      </c>
      <c r="CK307" s="99" t="s">
        <v>545</v>
      </c>
      <c r="CL307" s="103">
        <f>900/1000000</f>
        <v>8.9999999999999998E-4</v>
      </c>
      <c r="CM307" s="96" t="s">
        <v>546</v>
      </c>
      <c r="CN307" s="105">
        <v>0.1</v>
      </c>
      <c r="CO307" s="105">
        <v>1</v>
      </c>
      <c r="CP307" s="104" t="s">
        <v>385</v>
      </c>
      <c r="CQ307" s="104" t="s">
        <v>397</v>
      </c>
      <c r="CR307" s="146">
        <f>AS281</f>
        <v>0</v>
      </c>
      <c r="CS307" s="96" t="s">
        <v>547</v>
      </c>
      <c r="CT307" s="105">
        <v>0.1</v>
      </c>
      <c r="CU307" s="105">
        <v>1</v>
      </c>
      <c r="CV307" s="104" t="s">
        <v>397</v>
      </c>
      <c r="CW307" s="48"/>
      <c r="CX307" s="46"/>
      <c r="CY307" s="46"/>
      <c r="CZ307" s="48"/>
      <c r="DA307" s="48"/>
      <c r="DB307" s="48"/>
      <c r="DC307" s="48"/>
      <c r="DD307" s="46"/>
      <c r="DE307" s="46"/>
      <c r="DF307" s="48"/>
      <c r="DG307" s="48"/>
      <c r="DH307" s="48"/>
      <c r="DI307" s="49"/>
      <c r="DJ307" s="50">
        <v>0.4</v>
      </c>
      <c r="DK307" s="50">
        <v>0.35</v>
      </c>
    </row>
    <row r="308" spans="1:131" s="37" customFormat="1" ht="29.65" hidden="1" thickBot="1">
      <c r="A308" s="24"/>
      <c r="X308" s="74"/>
      <c r="AB308" s="75"/>
      <c r="AD308" s="78"/>
      <c r="AE308" s="78"/>
      <c r="AG308" s="78"/>
      <c r="AH308" s="80"/>
      <c r="AJ308" s="81"/>
      <c r="AL308" s="85"/>
      <c r="AM308" s="85"/>
      <c r="AO308" s="78"/>
      <c r="AR308" s="81"/>
      <c r="AW308" s="78"/>
      <c r="AZ308" s="81"/>
      <c r="BB308" s="78"/>
      <c r="BD308" s="78"/>
      <c r="BG308" s="81"/>
      <c r="BI308" s="78"/>
      <c r="BK308" s="78"/>
      <c r="BN308" s="81"/>
      <c r="BP308" s="78"/>
      <c r="BQ308" s="78"/>
      <c r="BS308" s="78"/>
      <c r="BV308" s="81"/>
      <c r="BX308" s="78"/>
      <c r="BZ308" s="78"/>
      <c r="CC308" s="117" t="s">
        <v>513</v>
      </c>
      <c r="CD308" s="118" t="s">
        <v>561</v>
      </c>
      <c r="CE308" s="99" t="s">
        <v>515</v>
      </c>
      <c r="CF308" s="103">
        <v>0</v>
      </c>
      <c r="CG308" s="99" t="s">
        <v>516</v>
      </c>
      <c r="CH308" s="105">
        <v>0.1</v>
      </c>
      <c r="CI308" s="105">
        <v>1</v>
      </c>
      <c r="CJ308" s="104" t="s">
        <v>397</v>
      </c>
      <c r="CK308" s="99" t="s">
        <v>545</v>
      </c>
      <c r="CL308" s="103">
        <f t="shared" ref="CL308:CL310" si="591">900/1000000</f>
        <v>8.9999999999999998E-4</v>
      </c>
      <c r="CM308" s="96" t="s">
        <v>546</v>
      </c>
      <c r="CN308" s="105">
        <v>0.1</v>
      </c>
      <c r="CO308" s="105">
        <v>1</v>
      </c>
      <c r="CP308" s="104" t="s">
        <v>385</v>
      </c>
      <c r="CQ308" s="104" t="s">
        <v>397</v>
      </c>
      <c r="CR308" s="146">
        <f>CR307</f>
        <v>0</v>
      </c>
      <c r="CS308" s="96" t="s">
        <v>547</v>
      </c>
      <c r="CT308" s="105">
        <v>0.1</v>
      </c>
      <c r="CU308" s="105">
        <v>1</v>
      </c>
      <c r="CV308" s="104" t="s">
        <v>397</v>
      </c>
      <c r="CW308" s="48"/>
      <c r="CX308" s="46"/>
      <c r="CY308" s="46"/>
      <c r="CZ308" s="48"/>
      <c r="DA308" s="48"/>
      <c r="DB308" s="48"/>
      <c r="DC308" s="48"/>
      <c r="DD308" s="46"/>
      <c r="DE308" s="46"/>
      <c r="DF308" s="48"/>
      <c r="DG308" s="48"/>
      <c r="DH308" s="48"/>
      <c r="DI308" s="49"/>
      <c r="DJ308" s="50">
        <v>0.4</v>
      </c>
      <c r="DK308" s="50">
        <v>0.35</v>
      </c>
    </row>
    <row r="309" spans="1:131" s="37" customFormat="1" ht="29.65" hidden="1" thickBot="1">
      <c r="A309" s="24"/>
      <c r="X309" s="74"/>
      <c r="AB309" s="75"/>
      <c r="AD309" s="78"/>
      <c r="AE309" s="78"/>
      <c r="AG309" s="78"/>
      <c r="AH309" s="80"/>
      <c r="AJ309" s="81"/>
      <c r="AL309" s="85"/>
      <c r="AM309" s="85"/>
      <c r="AO309" s="78"/>
      <c r="AR309" s="81"/>
      <c r="AW309" s="78"/>
      <c r="AZ309" s="81"/>
      <c r="BB309" s="78"/>
      <c r="BD309" s="78"/>
      <c r="BG309" s="81"/>
      <c r="BI309" s="78"/>
      <c r="BK309" s="78"/>
      <c r="BN309" s="81"/>
      <c r="BP309" s="78"/>
      <c r="BQ309" s="78"/>
      <c r="BS309" s="78"/>
      <c r="BV309" s="81"/>
      <c r="BX309" s="78"/>
      <c r="BZ309" s="78"/>
      <c r="CC309" s="117" t="s">
        <v>513</v>
      </c>
      <c r="CD309" s="118" t="s">
        <v>562</v>
      </c>
      <c r="CE309" s="99" t="s">
        <v>515</v>
      </c>
      <c r="CF309" s="103">
        <f>60/1000000</f>
        <v>6.0000000000000002E-5</v>
      </c>
      <c r="CG309" s="99" t="s">
        <v>516</v>
      </c>
      <c r="CH309" s="105">
        <v>0.1</v>
      </c>
      <c r="CI309" s="105">
        <v>1</v>
      </c>
      <c r="CJ309" s="104" t="s">
        <v>397</v>
      </c>
      <c r="CK309" s="99" t="s">
        <v>545</v>
      </c>
      <c r="CL309" s="103">
        <f t="shared" si="591"/>
        <v>8.9999999999999998E-4</v>
      </c>
      <c r="CM309" s="96" t="s">
        <v>546</v>
      </c>
      <c r="CN309" s="105">
        <v>0.1</v>
      </c>
      <c r="CO309" s="105">
        <v>1</v>
      </c>
      <c r="CP309" s="104" t="s">
        <v>385</v>
      </c>
      <c r="CQ309" s="104" t="s">
        <v>397</v>
      </c>
      <c r="CR309" s="146">
        <f>CR308</f>
        <v>0</v>
      </c>
      <c r="CS309" s="96" t="s">
        <v>547</v>
      </c>
      <c r="CT309" s="105">
        <v>0.1</v>
      </c>
      <c r="CU309" s="105">
        <v>1</v>
      </c>
      <c r="CV309" s="104" t="s">
        <v>397</v>
      </c>
      <c r="CW309" s="48"/>
      <c r="CX309" s="46"/>
      <c r="CY309" s="46"/>
      <c r="CZ309" s="48"/>
      <c r="DA309" s="48"/>
      <c r="DB309" s="48"/>
      <c r="DC309" s="48"/>
      <c r="DD309" s="46"/>
      <c r="DE309" s="46"/>
      <c r="DF309" s="48"/>
      <c r="DG309" s="48"/>
      <c r="DH309" s="48"/>
      <c r="DI309" s="49"/>
      <c r="DJ309" s="50">
        <v>0.4</v>
      </c>
      <c r="DK309" s="50">
        <v>0.35</v>
      </c>
    </row>
    <row r="310" spans="1:131" s="37" customFormat="1" ht="29.65" hidden="1" thickBot="1">
      <c r="A310" s="24"/>
      <c r="X310" s="74"/>
      <c r="AB310" s="75"/>
      <c r="AD310" s="78"/>
      <c r="AE310" s="78"/>
      <c r="AG310" s="78"/>
      <c r="AH310" s="80"/>
      <c r="AJ310" s="81"/>
      <c r="AL310" s="85"/>
      <c r="AM310" s="85"/>
      <c r="AO310" s="78"/>
      <c r="AR310" s="81"/>
      <c r="AW310" s="78"/>
      <c r="AZ310" s="81"/>
      <c r="BB310" s="78"/>
      <c r="BD310" s="78"/>
      <c r="BG310" s="81"/>
      <c r="BI310" s="78"/>
      <c r="BK310" s="78"/>
      <c r="BN310" s="81"/>
      <c r="BP310" s="78"/>
      <c r="BQ310" s="78"/>
      <c r="BS310" s="78"/>
      <c r="BV310" s="81"/>
      <c r="BX310" s="78"/>
      <c r="BZ310" s="78"/>
      <c r="CC310" s="117" t="s">
        <v>513</v>
      </c>
      <c r="CD310" s="118" t="s">
        <v>563</v>
      </c>
      <c r="CE310" s="99" t="s">
        <v>515</v>
      </c>
      <c r="CF310" s="103">
        <f>237/1000000</f>
        <v>2.3699999999999999E-4</v>
      </c>
      <c r="CG310" s="99" t="s">
        <v>516</v>
      </c>
      <c r="CH310" s="105">
        <v>0.1</v>
      </c>
      <c r="CI310" s="105">
        <v>1</v>
      </c>
      <c r="CJ310" s="104" t="s">
        <v>397</v>
      </c>
      <c r="CK310" s="99" t="s">
        <v>545</v>
      </c>
      <c r="CL310" s="103">
        <f t="shared" si="591"/>
        <v>8.9999999999999998E-4</v>
      </c>
      <c r="CM310" s="96" t="s">
        <v>546</v>
      </c>
      <c r="CN310" s="105">
        <v>0.1</v>
      </c>
      <c r="CO310" s="105">
        <v>1</v>
      </c>
      <c r="CP310" s="104" t="s">
        <v>385</v>
      </c>
      <c r="CQ310" s="104" t="s">
        <v>397</v>
      </c>
      <c r="CR310" s="146">
        <f>CR309</f>
        <v>0</v>
      </c>
      <c r="CS310" s="96" t="s">
        <v>547</v>
      </c>
      <c r="CT310" s="105">
        <v>0.1</v>
      </c>
      <c r="CU310" s="105">
        <v>1</v>
      </c>
      <c r="CV310" s="104" t="s">
        <v>397</v>
      </c>
      <c r="CW310" s="48"/>
      <c r="CX310" s="46"/>
      <c r="CY310" s="46"/>
      <c r="CZ310" s="48"/>
      <c r="DA310" s="48"/>
      <c r="DB310" s="48"/>
      <c r="DC310" s="48"/>
      <c r="DD310" s="46"/>
      <c r="DE310" s="46"/>
      <c r="DF310" s="48"/>
      <c r="DG310" s="48"/>
      <c r="DH310" s="48"/>
      <c r="DI310" s="49"/>
      <c r="DJ310" s="50">
        <v>0.4</v>
      </c>
      <c r="DK310" s="50">
        <v>0.35</v>
      </c>
    </row>
    <row r="311" spans="1:131" s="37" customFormat="1" ht="29.65" hidden="1" thickBot="1">
      <c r="A311" s="24"/>
      <c r="X311" s="74"/>
      <c r="AB311" s="75"/>
      <c r="AD311" s="78"/>
      <c r="AE311" s="78"/>
      <c r="AG311" s="78"/>
      <c r="AH311" s="80"/>
      <c r="AJ311" s="81"/>
      <c r="AL311" s="85"/>
      <c r="AM311" s="85"/>
      <c r="AO311" s="78"/>
      <c r="AR311" s="81"/>
      <c r="AW311" s="78"/>
      <c r="AZ311" s="81"/>
      <c r="BB311" s="78"/>
      <c r="BD311" s="78"/>
      <c r="BG311" s="81"/>
      <c r="BI311" s="78"/>
      <c r="BK311" s="78"/>
      <c r="BN311" s="81"/>
      <c r="BP311" s="78"/>
      <c r="BQ311" s="78"/>
      <c r="BS311" s="78"/>
      <c r="BV311" s="81"/>
      <c r="BX311" s="78"/>
      <c r="BZ311" s="78"/>
      <c r="CC311" s="117" t="s">
        <v>513</v>
      </c>
      <c r="CD311" s="118" t="s">
        <v>564</v>
      </c>
      <c r="CE311" s="99" t="s">
        <v>515</v>
      </c>
      <c r="CF311" s="103">
        <f>0.2/1000000</f>
        <v>2.0000000000000002E-7</v>
      </c>
      <c r="CG311" s="99" t="s">
        <v>516</v>
      </c>
      <c r="CH311" s="105">
        <v>0.1</v>
      </c>
      <c r="CI311" s="105">
        <v>1</v>
      </c>
      <c r="CJ311" s="104" t="s">
        <v>397</v>
      </c>
      <c r="CK311" s="99" t="s">
        <v>545</v>
      </c>
      <c r="CL311" s="103">
        <f>47/1000000</f>
        <v>4.6999999999999997E-5</v>
      </c>
      <c r="CM311" s="96" t="s">
        <v>546</v>
      </c>
      <c r="CN311" s="105">
        <v>0.1</v>
      </c>
      <c r="CO311" s="105">
        <v>1</v>
      </c>
      <c r="CP311" s="104" t="s">
        <v>385</v>
      </c>
      <c r="CQ311" s="104" t="s">
        <v>397</v>
      </c>
      <c r="CR311" s="146">
        <f>AS284</f>
        <v>2.9333333333333336</v>
      </c>
      <c r="CS311" s="96" t="s">
        <v>547</v>
      </c>
      <c r="CT311" s="105">
        <v>0.1</v>
      </c>
      <c r="CU311" s="105">
        <v>1</v>
      </c>
      <c r="CV311" s="104" t="s">
        <v>397</v>
      </c>
      <c r="CW311" s="48"/>
      <c r="CX311" s="46"/>
      <c r="CY311" s="46"/>
      <c r="CZ311" s="48"/>
      <c r="DA311" s="48"/>
      <c r="DB311" s="48"/>
      <c r="DC311" s="48"/>
      <c r="DD311" s="46"/>
      <c r="DE311" s="46"/>
      <c r="DF311" s="48"/>
      <c r="DG311" s="48"/>
      <c r="DH311" s="48"/>
      <c r="DI311" s="49"/>
      <c r="DJ311" s="50">
        <v>0.4</v>
      </c>
      <c r="DK311" s="50">
        <v>0.35</v>
      </c>
    </row>
    <row r="312" spans="1:131" s="37" customFormat="1" ht="29.65" hidden="1" thickBot="1">
      <c r="A312" s="24"/>
      <c r="X312" s="74"/>
      <c r="AB312" s="75"/>
      <c r="AD312" s="78"/>
      <c r="AE312" s="78"/>
      <c r="AG312" s="78"/>
      <c r="AH312" s="80"/>
      <c r="AJ312" s="81"/>
      <c r="AL312" s="85"/>
      <c r="AM312" s="85"/>
      <c r="AO312" s="78"/>
      <c r="AR312" s="81"/>
      <c r="AW312" s="78"/>
      <c r="AZ312" s="81"/>
      <c r="BB312" s="78"/>
      <c r="BD312" s="78"/>
      <c r="BG312" s="81"/>
      <c r="BI312" s="78"/>
      <c r="BK312" s="78"/>
      <c r="BN312" s="81"/>
      <c r="BP312" s="78"/>
      <c r="BQ312" s="78"/>
      <c r="BS312" s="78"/>
      <c r="BV312" s="81"/>
      <c r="BX312" s="78"/>
      <c r="BZ312" s="78"/>
      <c r="CC312" s="117" t="s">
        <v>513</v>
      </c>
      <c r="CD312" s="118" t="s">
        <v>565</v>
      </c>
      <c r="CE312" s="99" t="s">
        <v>515</v>
      </c>
      <c r="CF312" s="103">
        <v>0</v>
      </c>
      <c r="CG312" s="99" t="s">
        <v>516</v>
      </c>
      <c r="CH312" s="105">
        <v>0.1</v>
      </c>
      <c r="CI312" s="105">
        <v>1</v>
      </c>
      <c r="CJ312" s="104" t="s">
        <v>397</v>
      </c>
      <c r="CK312" s="99" t="s">
        <v>545</v>
      </c>
      <c r="CL312" s="103">
        <f>67/1000000</f>
        <v>6.7000000000000002E-5</v>
      </c>
      <c r="CM312" s="96" t="s">
        <v>546</v>
      </c>
      <c r="CN312" s="105">
        <v>0.1</v>
      </c>
      <c r="CO312" s="105">
        <v>1</v>
      </c>
      <c r="CP312" s="104" t="s">
        <v>385</v>
      </c>
      <c r="CQ312" s="104" t="s">
        <v>397</v>
      </c>
      <c r="CR312" s="146">
        <f>CR311</f>
        <v>2.9333333333333336</v>
      </c>
      <c r="CS312" s="96" t="s">
        <v>547</v>
      </c>
      <c r="CT312" s="105">
        <v>0.1</v>
      </c>
      <c r="CU312" s="105">
        <v>1</v>
      </c>
      <c r="CV312" s="104" t="s">
        <v>397</v>
      </c>
      <c r="CW312" s="48"/>
      <c r="CX312" s="46"/>
      <c r="CY312" s="46"/>
      <c r="CZ312" s="48"/>
      <c r="DA312" s="48"/>
      <c r="DB312" s="48"/>
      <c r="DC312" s="48"/>
      <c r="DD312" s="46"/>
      <c r="DE312" s="46"/>
      <c r="DF312" s="48"/>
      <c r="DG312" s="48"/>
      <c r="DH312" s="48"/>
      <c r="DI312" s="49"/>
      <c r="DJ312" s="50">
        <v>0.4</v>
      </c>
      <c r="DK312" s="50">
        <v>0.35</v>
      </c>
    </row>
    <row r="313" spans="1:131" s="37" customFormat="1" ht="29.65" hidden="1" thickBot="1">
      <c r="A313" s="24"/>
      <c r="X313" s="74"/>
      <c r="AB313" s="75"/>
      <c r="AD313" s="78"/>
      <c r="AE313" s="78"/>
      <c r="AG313" s="78"/>
      <c r="AH313" s="80"/>
      <c r="AJ313" s="81"/>
      <c r="AL313" s="85"/>
      <c r="AM313" s="85"/>
      <c r="AO313" s="78"/>
      <c r="AR313" s="81"/>
      <c r="AW313" s="78"/>
      <c r="AZ313" s="81"/>
      <c r="BB313" s="78"/>
      <c r="BD313" s="78"/>
      <c r="BG313" s="81"/>
      <c r="BI313" s="78"/>
      <c r="BK313" s="78"/>
      <c r="BN313" s="81"/>
      <c r="BP313" s="78"/>
      <c r="BQ313" s="78"/>
      <c r="BS313" s="78"/>
      <c r="BV313" s="81"/>
      <c r="BX313" s="78"/>
      <c r="BZ313" s="78"/>
      <c r="CC313" s="117" t="s">
        <v>513</v>
      </c>
      <c r="CD313" s="118" t="s">
        <v>566</v>
      </c>
      <c r="CE313" s="99" t="s">
        <v>515</v>
      </c>
      <c r="CF313" s="103">
        <f>60/1000000</f>
        <v>6.0000000000000002E-5</v>
      </c>
      <c r="CG313" s="99" t="s">
        <v>516</v>
      </c>
      <c r="CH313" s="105">
        <v>0.1</v>
      </c>
      <c r="CI313" s="105">
        <v>1</v>
      </c>
      <c r="CJ313" s="104" t="s">
        <v>397</v>
      </c>
      <c r="CK313" s="99" t="s">
        <v>545</v>
      </c>
      <c r="CL313" s="103">
        <f>56/1000000</f>
        <v>5.5999999999999999E-5</v>
      </c>
      <c r="CM313" s="96" t="s">
        <v>546</v>
      </c>
      <c r="CN313" s="105">
        <v>0.1</v>
      </c>
      <c r="CO313" s="105">
        <v>1</v>
      </c>
      <c r="CP313" s="104" t="s">
        <v>385</v>
      </c>
      <c r="CQ313" s="104" t="s">
        <v>397</v>
      </c>
      <c r="CR313" s="146">
        <f>CR312</f>
        <v>2.9333333333333336</v>
      </c>
      <c r="CS313" s="96" t="s">
        <v>547</v>
      </c>
      <c r="CT313" s="105">
        <v>0.1</v>
      </c>
      <c r="CU313" s="105">
        <v>1</v>
      </c>
      <c r="CV313" s="104" t="s">
        <v>397</v>
      </c>
      <c r="CW313" s="48"/>
      <c r="CX313" s="46"/>
      <c r="CY313" s="46"/>
      <c r="CZ313" s="48"/>
      <c r="DA313" s="48"/>
      <c r="DB313" s="48"/>
      <c r="DC313" s="48"/>
      <c r="DD313" s="46"/>
      <c r="DE313" s="46"/>
      <c r="DF313" s="48"/>
      <c r="DG313" s="48"/>
      <c r="DH313" s="48"/>
      <c r="DI313" s="49"/>
      <c r="DJ313" s="50">
        <v>0.4</v>
      </c>
      <c r="DK313" s="50">
        <v>0.35</v>
      </c>
    </row>
    <row r="314" spans="1:131" s="37" customFormat="1" ht="29.65" hidden="1" thickBot="1">
      <c r="A314" s="24"/>
      <c r="X314" s="74"/>
      <c r="AB314" s="75"/>
      <c r="AD314" s="78"/>
      <c r="AE314" s="78"/>
      <c r="AG314" s="78"/>
      <c r="AH314" s="80"/>
      <c r="AJ314" s="81"/>
      <c r="AL314" s="85"/>
      <c r="AM314" s="85"/>
      <c r="AO314" s="78"/>
      <c r="AR314" s="81"/>
      <c r="AW314" s="78"/>
      <c r="AZ314" s="81"/>
      <c r="BB314" s="78"/>
      <c r="BD314" s="78"/>
      <c r="BG314" s="81"/>
      <c r="BI314" s="78"/>
      <c r="BK314" s="78"/>
      <c r="BN314" s="81"/>
      <c r="BP314" s="78"/>
      <c r="BQ314" s="78"/>
      <c r="BS314" s="78"/>
      <c r="BV314" s="81"/>
      <c r="BX314" s="78"/>
      <c r="BZ314" s="78"/>
      <c r="CC314" s="117" t="s">
        <v>513</v>
      </c>
      <c r="CD314" s="118" t="s">
        <v>567</v>
      </c>
      <c r="CE314" s="99" t="s">
        <v>515</v>
      </c>
      <c r="CF314" s="103">
        <f>237/1000000</f>
        <v>2.3699999999999999E-4</v>
      </c>
      <c r="CG314" s="99" t="s">
        <v>516</v>
      </c>
      <c r="CH314" s="105">
        <v>0.1</v>
      </c>
      <c r="CI314" s="105">
        <v>1</v>
      </c>
      <c r="CJ314" s="104" t="s">
        <v>397</v>
      </c>
      <c r="CK314" s="99" t="s">
        <v>545</v>
      </c>
      <c r="CL314" s="103">
        <f>221/1000000</f>
        <v>2.2100000000000001E-4</v>
      </c>
      <c r="CM314" s="96" t="s">
        <v>546</v>
      </c>
      <c r="CN314" s="105">
        <v>0.1</v>
      </c>
      <c r="CO314" s="105">
        <v>1</v>
      </c>
      <c r="CP314" s="104" t="s">
        <v>385</v>
      </c>
      <c r="CQ314" s="104" t="s">
        <v>397</v>
      </c>
      <c r="CR314" s="146">
        <f>CR313</f>
        <v>2.9333333333333336</v>
      </c>
      <c r="CS314" s="96" t="s">
        <v>547</v>
      </c>
      <c r="CT314" s="105">
        <v>0.1</v>
      </c>
      <c r="CU314" s="105">
        <v>1</v>
      </c>
      <c r="CV314" s="104" t="s">
        <v>397</v>
      </c>
      <c r="CW314" s="48"/>
      <c r="CX314" s="46"/>
      <c r="CY314" s="46"/>
      <c r="CZ314" s="48"/>
      <c r="DA314" s="48"/>
      <c r="DB314" s="48"/>
      <c r="DC314" s="48"/>
      <c r="DD314" s="46"/>
      <c r="DE314" s="46"/>
      <c r="DF314" s="48"/>
      <c r="DG314" s="48"/>
      <c r="DH314" s="48"/>
      <c r="DI314" s="49"/>
      <c r="DJ314" s="50">
        <v>0.4</v>
      </c>
      <c r="DK314" s="50">
        <v>0.35</v>
      </c>
    </row>
    <row r="315" spans="1:131" s="37" customFormat="1" hidden="1">
      <c r="A315" s="24"/>
      <c r="X315" s="74"/>
      <c r="AB315" s="75"/>
      <c r="CC315" s="45"/>
      <c r="CD315" s="36"/>
      <c r="CE315" s="46"/>
      <c r="CF315" s="46"/>
      <c r="CG315" s="46"/>
      <c r="CH315" s="47"/>
      <c r="CI315" s="47"/>
      <c r="CJ315" s="47"/>
      <c r="CK315" s="46"/>
      <c r="CL315" s="46"/>
      <c r="CM315" s="46"/>
      <c r="CN315" s="46"/>
      <c r="CO315" s="46"/>
      <c r="CP315" s="46"/>
      <c r="CQ315" s="48"/>
      <c r="CR315" s="46"/>
      <c r="CS315" s="46"/>
      <c r="CT315" s="48"/>
      <c r="CU315" s="48"/>
      <c r="CV315" s="48"/>
      <c r="CW315" s="48"/>
      <c r="CX315" s="46"/>
      <c r="CY315" s="46"/>
      <c r="CZ315" s="48"/>
      <c r="DA315" s="48"/>
      <c r="DB315" s="48"/>
      <c r="DC315" s="48"/>
      <c r="DD315" s="46"/>
      <c r="DE315" s="46"/>
      <c r="DF315" s="48"/>
      <c r="DG315" s="48"/>
      <c r="DH315" s="48"/>
      <c r="DI315" s="49"/>
      <c r="DJ315" s="50"/>
      <c r="DK315" s="50">
        <f t="shared" si="562"/>
        <v>0</v>
      </c>
    </row>
    <row r="316" spans="1:131" s="37" customFormat="1" ht="16.149999999999999" hidden="1" thickBot="1">
      <c r="A316" s="24"/>
      <c r="X316" s="74"/>
      <c r="AB316" s="75"/>
      <c r="CC316" s="45"/>
      <c r="CD316" s="36"/>
      <c r="CE316" s="46"/>
      <c r="CF316" s="46"/>
      <c r="CG316" s="46"/>
      <c r="CH316" s="47"/>
      <c r="CI316" s="47"/>
      <c r="CJ316" s="47"/>
      <c r="CK316" s="46"/>
      <c r="CL316" s="46"/>
      <c r="CM316" s="46"/>
      <c r="CN316" s="46"/>
      <c r="CO316" s="46"/>
      <c r="CP316" s="46"/>
      <c r="CQ316" s="48"/>
      <c r="CR316" s="46"/>
      <c r="CS316" s="46"/>
      <c r="CT316" s="48"/>
      <c r="CU316" s="48"/>
      <c r="CV316" s="48"/>
      <c r="CW316" s="36"/>
      <c r="CX316" s="36"/>
      <c r="CY316" s="36"/>
      <c r="CZ316" s="36"/>
      <c r="DA316" s="36"/>
      <c r="DB316" s="36"/>
      <c r="DC316" s="36"/>
      <c r="DD316" s="36"/>
      <c r="DE316" s="36"/>
      <c r="DF316" s="36"/>
      <c r="DG316" s="36"/>
      <c r="DH316" s="36"/>
      <c r="DJ316" s="50"/>
      <c r="DK316" s="50">
        <f t="shared" si="562"/>
        <v>0</v>
      </c>
      <c r="DU316" s="49" t="s">
        <v>568</v>
      </c>
      <c r="DV316" s="49" t="s">
        <v>569</v>
      </c>
      <c r="DX316" s="49" t="s">
        <v>570</v>
      </c>
      <c r="DY316" s="49"/>
      <c r="DZ316" s="49"/>
      <c r="EA316" s="49"/>
    </row>
    <row r="317" spans="1:131" s="37" customFormat="1" ht="33" hidden="1" customHeight="1">
      <c r="A317" s="24"/>
      <c r="X317" s="74"/>
      <c r="AB317" s="75"/>
      <c r="CC317" s="45"/>
      <c r="CD317" s="549" t="s">
        <v>571</v>
      </c>
      <c r="CE317" s="549" t="s">
        <v>290</v>
      </c>
      <c r="CF317" s="549" t="s">
        <v>572</v>
      </c>
      <c r="CG317" s="92"/>
      <c r="CH317" s="549" t="s">
        <v>283</v>
      </c>
      <c r="CI317" s="549" t="s">
        <v>283</v>
      </c>
      <c r="CJ317" s="549" t="s">
        <v>284</v>
      </c>
      <c r="CK317" s="46"/>
      <c r="CL317" s="46"/>
      <c r="CM317" s="46"/>
      <c r="CN317" s="46"/>
      <c r="CO317" s="46"/>
      <c r="CP317" s="46"/>
      <c r="CQ317" s="48"/>
      <c r="CR317" s="46"/>
      <c r="CS317" s="46"/>
      <c r="CT317" s="48"/>
      <c r="CU317" s="48"/>
      <c r="CV317" s="48"/>
      <c r="CW317" s="36"/>
      <c r="CX317" s="36"/>
      <c r="CY317" s="36"/>
      <c r="CZ317" s="36"/>
      <c r="DA317" s="36"/>
      <c r="DB317" s="36"/>
      <c r="DC317" s="36"/>
      <c r="DD317" s="36"/>
      <c r="DE317" s="36"/>
      <c r="DF317" s="36"/>
      <c r="DG317" s="36"/>
      <c r="DH317" s="36"/>
      <c r="DJ317" s="50"/>
      <c r="DK317" s="50" t="str">
        <f t="shared" si="562"/>
        <v>Incertidumbre (+/- %)</v>
      </c>
      <c r="DS317" s="37">
        <v>0</v>
      </c>
      <c r="DU317" s="49" t="s">
        <v>573</v>
      </c>
      <c r="DV317" s="49" t="s">
        <v>574</v>
      </c>
      <c r="DX317" s="49" t="s">
        <v>574</v>
      </c>
      <c r="DY317" s="49"/>
      <c r="DZ317" s="49"/>
      <c r="EA317" s="49"/>
    </row>
    <row r="318" spans="1:131" s="37" customFormat="1" ht="14.65" hidden="1" thickBot="1">
      <c r="A318" s="24"/>
      <c r="X318" s="74"/>
      <c r="AB318" s="75"/>
      <c r="CC318" s="45"/>
      <c r="CD318" s="550"/>
      <c r="CE318" s="550"/>
      <c r="CF318" s="550"/>
      <c r="CG318" s="94" t="s">
        <v>291</v>
      </c>
      <c r="CH318" s="550"/>
      <c r="CI318" s="550"/>
      <c r="CJ318" s="550"/>
      <c r="CK318" s="46"/>
      <c r="CL318" s="46"/>
      <c r="CM318" s="46"/>
      <c r="CN318" s="46"/>
      <c r="CO318" s="46"/>
      <c r="CP318" s="46"/>
      <c r="CQ318" s="48"/>
      <c r="CR318" s="46"/>
      <c r="CS318" s="46"/>
      <c r="CT318" s="48"/>
      <c r="CU318" s="48"/>
      <c r="CV318" s="48"/>
      <c r="CW318" s="36"/>
      <c r="CX318" s="36"/>
      <c r="CY318" s="36"/>
      <c r="CZ318" s="36"/>
      <c r="DA318" s="36"/>
      <c r="DB318" s="36"/>
      <c r="DC318" s="36"/>
      <c r="DD318" s="36"/>
      <c r="DE318" s="36"/>
      <c r="DF318" s="36"/>
      <c r="DG318" s="36"/>
      <c r="DH318" s="36"/>
      <c r="DJ318" s="50"/>
      <c r="DK318" s="50">
        <f t="shared" si="562"/>
        <v>0</v>
      </c>
      <c r="DS318" s="37">
        <v>0</v>
      </c>
      <c r="DU318" s="49">
        <v>0</v>
      </c>
      <c r="DV318" s="49">
        <v>0</v>
      </c>
      <c r="DX318" s="49">
        <v>0</v>
      </c>
      <c r="DY318" s="49"/>
      <c r="DZ318" s="49"/>
      <c r="EA318" s="49"/>
    </row>
    <row r="319" spans="1:131" s="37" customFormat="1" ht="39" hidden="1" customHeight="1" thickBot="1">
      <c r="A319" s="24"/>
      <c r="X319" s="74"/>
      <c r="AB319" s="75"/>
      <c r="CC319" s="117" t="s">
        <v>266</v>
      </c>
      <c r="CD319" s="118" t="s">
        <v>575</v>
      </c>
      <c r="CE319" s="99" t="s">
        <v>576</v>
      </c>
      <c r="CF319" s="143">
        <v>87</v>
      </c>
      <c r="CG319" s="99" t="s">
        <v>577</v>
      </c>
      <c r="CH319" s="105">
        <v>0.3</v>
      </c>
      <c r="CI319" s="105">
        <v>0.5</v>
      </c>
      <c r="CJ319" s="104" t="s">
        <v>437</v>
      </c>
      <c r="CK319" s="46"/>
      <c r="CL319" s="103">
        <v>1425</v>
      </c>
      <c r="CM319" s="99" t="s">
        <v>574</v>
      </c>
      <c r="CN319" s="46"/>
      <c r="CO319" s="46"/>
      <c r="CP319" s="46"/>
      <c r="CQ319" s="48"/>
      <c r="CR319" s="46"/>
      <c r="CS319" s="46"/>
      <c r="CT319" s="48"/>
      <c r="CU319" s="48"/>
      <c r="CV319" s="48"/>
      <c r="CW319" s="36"/>
      <c r="CX319" s="36"/>
      <c r="CY319" s="36"/>
      <c r="CZ319" s="36"/>
      <c r="DA319" s="36"/>
      <c r="DB319" s="36"/>
      <c r="DC319" s="36"/>
      <c r="DD319" s="36"/>
      <c r="DE319" s="36"/>
      <c r="DF319" s="36"/>
      <c r="DG319" s="36"/>
      <c r="DH319" s="36"/>
      <c r="DJ319" s="50">
        <v>0.2</v>
      </c>
      <c r="DK319" s="50">
        <v>0.1</v>
      </c>
      <c r="DR319" s="37" t="s">
        <v>266</v>
      </c>
      <c r="DS319" s="37" t="s">
        <v>575</v>
      </c>
      <c r="DT319" s="37" t="s">
        <v>576</v>
      </c>
      <c r="DU319" s="49">
        <v>57</v>
      </c>
      <c r="DV319" s="148">
        <f>+DU319*21</f>
        <v>1197</v>
      </c>
      <c r="DW319" s="49" t="s">
        <v>574</v>
      </c>
      <c r="DX319" s="49">
        <f t="shared" ref="DX319:DX328" si="592">+DU319*25</f>
        <v>1425</v>
      </c>
      <c r="DY319" s="49"/>
      <c r="DZ319" s="49"/>
      <c r="EA319" s="49"/>
    </row>
    <row r="320" spans="1:131" s="37" customFormat="1" ht="39" hidden="1" customHeight="1" thickBot="1">
      <c r="A320" s="24"/>
      <c r="X320" s="74"/>
      <c r="AB320" s="75"/>
      <c r="CC320" s="117"/>
      <c r="CD320" s="118" t="s">
        <v>578</v>
      </c>
      <c r="CE320" s="99" t="s">
        <v>576</v>
      </c>
      <c r="CF320" s="143">
        <v>56</v>
      </c>
      <c r="CG320" s="99" t="s">
        <v>577</v>
      </c>
      <c r="CH320" s="105">
        <v>0.3</v>
      </c>
      <c r="CI320" s="105">
        <v>0.5</v>
      </c>
      <c r="CJ320" s="104" t="s">
        <v>437</v>
      </c>
      <c r="CK320" s="46"/>
      <c r="CL320" s="103"/>
      <c r="CM320" s="99"/>
      <c r="CN320" s="46"/>
      <c r="CO320" s="46"/>
      <c r="CP320" s="46"/>
      <c r="CQ320" s="48"/>
      <c r="CR320" s="46"/>
      <c r="CS320" s="46"/>
      <c r="CT320" s="48"/>
      <c r="CU320" s="48"/>
      <c r="CV320" s="48"/>
      <c r="CW320" s="36"/>
      <c r="CX320" s="36"/>
      <c r="CY320" s="36"/>
      <c r="CZ320" s="36"/>
      <c r="DA320" s="36"/>
      <c r="DB320" s="36"/>
      <c r="DC320" s="36"/>
      <c r="DD320" s="36"/>
      <c r="DE320" s="36"/>
      <c r="DF320" s="36"/>
      <c r="DG320" s="36"/>
      <c r="DH320" s="36"/>
      <c r="DJ320" s="50"/>
      <c r="DK320" s="50">
        <v>0.1</v>
      </c>
      <c r="DU320" s="49"/>
      <c r="DV320" s="148"/>
      <c r="DW320" s="49"/>
      <c r="DX320" s="49"/>
      <c r="DY320" s="49"/>
      <c r="DZ320" s="49"/>
      <c r="EA320" s="49"/>
    </row>
    <row r="321" spans="1:137" s="37" customFormat="1" ht="39" hidden="1" customHeight="1" thickBot="1">
      <c r="A321" s="24"/>
      <c r="X321" s="74"/>
      <c r="AB321" s="75"/>
      <c r="CC321" s="117"/>
      <c r="CD321" s="118" t="s">
        <v>579</v>
      </c>
      <c r="CE321" s="99" t="s">
        <v>576</v>
      </c>
      <c r="CF321" s="143">
        <v>68</v>
      </c>
      <c r="CG321" s="99" t="s">
        <v>577</v>
      </c>
      <c r="CH321" s="105">
        <v>0.3</v>
      </c>
      <c r="CI321" s="105">
        <v>0.5</v>
      </c>
      <c r="CJ321" s="104" t="s">
        <v>437</v>
      </c>
      <c r="CK321" s="46"/>
      <c r="CL321" s="103"/>
      <c r="CM321" s="99"/>
      <c r="CN321" s="46"/>
      <c r="CO321" s="46"/>
      <c r="CP321" s="46"/>
      <c r="CQ321" s="48"/>
      <c r="CR321" s="46"/>
      <c r="CS321" s="46"/>
      <c r="CT321" s="48"/>
      <c r="CU321" s="48"/>
      <c r="CV321" s="48"/>
      <c r="CW321" s="36"/>
      <c r="CX321" s="36"/>
      <c r="CY321" s="36"/>
      <c r="CZ321" s="36"/>
      <c r="DA321" s="36"/>
      <c r="DB321" s="36"/>
      <c r="DC321" s="36"/>
      <c r="DD321" s="36"/>
      <c r="DE321" s="36"/>
      <c r="DF321" s="36"/>
      <c r="DG321" s="36"/>
      <c r="DH321" s="36"/>
      <c r="DJ321" s="50"/>
      <c r="DK321" s="50">
        <v>0.25</v>
      </c>
      <c r="DU321" s="49"/>
      <c r="DV321" s="148"/>
      <c r="DW321" s="49"/>
      <c r="DX321" s="49"/>
      <c r="DY321" s="49"/>
      <c r="DZ321" s="49"/>
      <c r="EA321" s="49"/>
    </row>
    <row r="322" spans="1:137" s="37" customFormat="1" ht="15" hidden="1" customHeight="1" thickBot="1">
      <c r="A322" s="24"/>
      <c r="X322" s="74"/>
      <c r="AB322" s="75"/>
      <c r="CC322" s="117"/>
      <c r="CD322" s="118" t="s">
        <v>580</v>
      </c>
      <c r="CE322" s="99" t="s">
        <v>576</v>
      </c>
      <c r="CF322" s="171">
        <v>5</v>
      </c>
      <c r="CG322" s="99" t="s">
        <v>577</v>
      </c>
      <c r="CH322" s="105">
        <v>0.3</v>
      </c>
      <c r="CI322" s="105">
        <v>0.5</v>
      </c>
      <c r="CJ322" s="104" t="s">
        <v>385</v>
      </c>
      <c r="CK322" s="46"/>
      <c r="CL322" s="103"/>
      <c r="CM322" s="99"/>
      <c r="CN322" s="46"/>
      <c r="CO322" s="46"/>
      <c r="CP322" s="46"/>
      <c r="CQ322" s="48"/>
      <c r="CR322" s="46"/>
      <c r="CS322" s="46"/>
      <c r="CT322" s="48"/>
      <c r="CU322" s="48"/>
      <c r="CV322" s="48"/>
      <c r="CW322" s="36"/>
      <c r="CX322" s="36"/>
      <c r="CY322" s="36"/>
      <c r="CZ322" s="36"/>
      <c r="DA322" s="36"/>
      <c r="DB322" s="36"/>
      <c r="DC322" s="36"/>
      <c r="DD322" s="36"/>
      <c r="DE322" s="36"/>
      <c r="DF322" s="36"/>
      <c r="DG322" s="36"/>
      <c r="DH322" s="36"/>
      <c r="DJ322" s="50"/>
      <c r="DK322" s="50">
        <v>0.25</v>
      </c>
      <c r="DU322" s="49"/>
      <c r="DV322" s="148"/>
      <c r="DW322" s="49"/>
      <c r="DX322" s="49"/>
      <c r="DY322" s="49"/>
      <c r="DZ322" s="49"/>
      <c r="EA322" s="49"/>
    </row>
    <row r="323" spans="1:137" s="37" customFormat="1" ht="15" hidden="1" customHeight="1" thickBot="1">
      <c r="A323" s="24"/>
      <c r="X323" s="74"/>
      <c r="AB323" s="75"/>
      <c r="CC323" s="117"/>
      <c r="CD323" s="118" t="s">
        <v>581</v>
      </c>
      <c r="CE323" s="99" t="s">
        <v>576</v>
      </c>
      <c r="CF323" s="171">
        <v>5</v>
      </c>
      <c r="CG323" s="99" t="s">
        <v>577</v>
      </c>
      <c r="CH323" s="105">
        <v>0.3</v>
      </c>
      <c r="CI323" s="105">
        <v>0.5</v>
      </c>
      <c r="CJ323" s="104" t="s">
        <v>385</v>
      </c>
      <c r="CK323" s="46"/>
      <c r="CL323" s="103"/>
      <c r="CM323" s="99"/>
      <c r="CN323" s="46"/>
      <c r="CO323" s="46"/>
      <c r="CP323" s="46"/>
      <c r="CQ323" s="48"/>
      <c r="CR323" s="46"/>
      <c r="CS323" s="46"/>
      <c r="CT323" s="48"/>
      <c r="CU323" s="48"/>
      <c r="CV323" s="48"/>
      <c r="CW323" s="36"/>
      <c r="CX323" s="36"/>
      <c r="CY323" s="36"/>
      <c r="CZ323" s="36"/>
      <c r="DA323" s="36"/>
      <c r="DB323" s="36"/>
      <c r="DC323" s="36"/>
      <c r="DD323" s="36"/>
      <c r="DE323" s="36"/>
      <c r="DF323" s="36"/>
      <c r="DG323" s="36"/>
      <c r="DH323" s="36"/>
      <c r="DJ323" s="50"/>
      <c r="DK323" s="50">
        <v>0.25</v>
      </c>
      <c r="DU323" s="49"/>
      <c r="DV323" s="148"/>
      <c r="DW323" s="49"/>
      <c r="DX323" s="49"/>
      <c r="DY323" s="49"/>
      <c r="DZ323" s="49"/>
      <c r="EA323" s="49"/>
    </row>
    <row r="324" spans="1:137" s="37" customFormat="1" ht="15" hidden="1" customHeight="1" thickBot="1">
      <c r="A324" s="24"/>
      <c r="X324" s="74"/>
      <c r="AB324" s="75"/>
      <c r="CC324" s="117"/>
      <c r="CD324" s="118" t="s">
        <v>582</v>
      </c>
      <c r="CE324" s="99" t="s">
        <v>576</v>
      </c>
      <c r="CF324" s="171">
        <v>18</v>
      </c>
      <c r="CG324" s="99" t="s">
        <v>577</v>
      </c>
      <c r="CH324" s="105">
        <v>0.3</v>
      </c>
      <c r="CI324" s="105">
        <v>0.5</v>
      </c>
      <c r="CJ324" s="104" t="s">
        <v>385</v>
      </c>
      <c r="CK324" s="46"/>
      <c r="CL324" s="103"/>
      <c r="CM324" s="99"/>
      <c r="CN324" s="46"/>
      <c r="CO324" s="46"/>
      <c r="CP324" s="46"/>
      <c r="CQ324" s="48"/>
      <c r="CR324" s="46"/>
      <c r="CS324" s="46"/>
      <c r="CT324" s="48"/>
      <c r="CU324" s="48"/>
      <c r="CV324" s="48"/>
      <c r="CW324" s="36"/>
      <c r="CX324" s="36"/>
      <c r="CY324" s="36"/>
      <c r="CZ324" s="36"/>
      <c r="DA324" s="36"/>
      <c r="DB324" s="36"/>
      <c r="DC324" s="36"/>
      <c r="DD324" s="36"/>
      <c r="DE324" s="36"/>
      <c r="DF324" s="36"/>
      <c r="DG324" s="36"/>
      <c r="DH324" s="36"/>
      <c r="DJ324" s="50"/>
      <c r="DK324" s="50">
        <v>0.25</v>
      </c>
      <c r="DU324" s="49"/>
      <c r="DV324" s="148"/>
      <c r="DW324" s="49"/>
      <c r="DX324" s="49"/>
      <c r="DY324" s="49"/>
      <c r="DZ324" s="49"/>
      <c r="EA324" s="49"/>
    </row>
    <row r="325" spans="1:137" s="37" customFormat="1" ht="15" hidden="1" customHeight="1" thickBot="1">
      <c r="A325" s="24"/>
      <c r="X325" s="74"/>
      <c r="AB325" s="75"/>
      <c r="AD325" s="78"/>
      <c r="AE325" s="78"/>
      <c r="AG325" s="78"/>
      <c r="AH325" s="80"/>
      <c r="AJ325" s="81"/>
      <c r="AL325" s="85"/>
      <c r="AM325" s="85"/>
      <c r="AO325" s="78"/>
      <c r="AR325" s="81"/>
      <c r="AW325" s="78"/>
      <c r="AZ325" s="81"/>
      <c r="BB325" s="78"/>
      <c r="BD325" s="78"/>
      <c r="BG325" s="81"/>
      <c r="BI325" s="78"/>
      <c r="BK325" s="78"/>
      <c r="BN325" s="81"/>
      <c r="BP325" s="78"/>
      <c r="BQ325" s="78"/>
      <c r="BS325" s="78"/>
      <c r="BV325" s="81"/>
      <c r="BX325" s="78"/>
      <c r="BZ325" s="78"/>
      <c r="CC325" s="117"/>
      <c r="CD325" s="118" t="s">
        <v>583</v>
      </c>
      <c r="CE325" s="99" t="s">
        <v>576</v>
      </c>
      <c r="CF325" s="171">
        <v>10</v>
      </c>
      <c r="CG325" s="99" t="s">
        <v>577</v>
      </c>
      <c r="CH325" s="105">
        <v>0.3</v>
      </c>
      <c r="CI325" s="105">
        <v>0.5</v>
      </c>
      <c r="CJ325" s="104" t="s">
        <v>385</v>
      </c>
      <c r="CK325" s="46"/>
      <c r="CL325" s="103"/>
      <c r="CM325" s="99"/>
      <c r="CN325" s="46"/>
      <c r="CO325" s="46"/>
      <c r="CP325" s="46"/>
      <c r="CQ325" s="48"/>
      <c r="CR325" s="46"/>
      <c r="CS325" s="46"/>
      <c r="CT325" s="48"/>
      <c r="CU325" s="48"/>
      <c r="CV325" s="48"/>
      <c r="CW325" s="36"/>
      <c r="CX325" s="36"/>
      <c r="CY325" s="36"/>
      <c r="CZ325" s="36"/>
      <c r="DA325" s="36"/>
      <c r="DB325" s="36"/>
      <c r="DC325" s="36"/>
      <c r="DD325" s="36"/>
      <c r="DE325" s="36"/>
      <c r="DF325" s="36"/>
      <c r="DG325" s="36"/>
      <c r="DH325" s="36"/>
      <c r="DJ325" s="50"/>
      <c r="DK325" s="50">
        <v>0.25</v>
      </c>
      <c r="DU325" s="49"/>
      <c r="DV325" s="148"/>
      <c r="DW325" s="49"/>
      <c r="DX325" s="49"/>
      <c r="DY325" s="49"/>
      <c r="DZ325" s="49"/>
      <c r="EA325" s="49"/>
    </row>
    <row r="326" spans="1:137" s="37" customFormat="1" ht="15" hidden="1" customHeight="1" thickBot="1">
      <c r="A326" s="24"/>
      <c r="X326" s="74"/>
      <c r="AB326" s="75"/>
      <c r="AD326" s="78"/>
      <c r="AE326" s="78"/>
      <c r="AG326" s="78"/>
      <c r="AH326" s="80"/>
      <c r="AJ326" s="81"/>
      <c r="AL326" s="85"/>
      <c r="AM326" s="85"/>
      <c r="AO326" s="78"/>
      <c r="AR326" s="81"/>
      <c r="AW326" s="78"/>
      <c r="AZ326" s="81"/>
      <c r="BB326" s="78"/>
      <c r="BD326" s="78"/>
      <c r="BG326" s="81"/>
      <c r="BI326" s="78"/>
      <c r="BK326" s="78"/>
      <c r="BN326" s="81"/>
      <c r="BP326" s="78"/>
      <c r="BQ326" s="78"/>
      <c r="BS326" s="78"/>
      <c r="BV326" s="81"/>
      <c r="BX326" s="78"/>
      <c r="BZ326" s="78"/>
      <c r="CC326" s="117"/>
      <c r="CD326" s="118" t="s">
        <v>584</v>
      </c>
      <c r="CE326" s="99" t="s">
        <v>576</v>
      </c>
      <c r="CF326" s="171">
        <v>1</v>
      </c>
      <c r="CG326" s="99" t="s">
        <v>577</v>
      </c>
      <c r="CH326" s="105">
        <v>0.3</v>
      </c>
      <c r="CI326" s="105">
        <v>0.5</v>
      </c>
      <c r="CJ326" s="104" t="s">
        <v>385</v>
      </c>
      <c r="CK326" s="46"/>
      <c r="CL326" s="103"/>
      <c r="CM326" s="99"/>
      <c r="CN326" s="46"/>
      <c r="CO326" s="46"/>
      <c r="CP326" s="46"/>
      <c r="CQ326" s="48"/>
      <c r="CR326" s="46"/>
      <c r="CS326" s="46"/>
      <c r="CT326" s="48"/>
      <c r="CU326" s="48"/>
      <c r="CV326" s="48"/>
      <c r="CW326" s="36"/>
      <c r="CX326" s="36"/>
      <c r="CY326" s="36"/>
      <c r="CZ326" s="36"/>
      <c r="DA326" s="36"/>
      <c r="DB326" s="36"/>
      <c r="DC326" s="36"/>
      <c r="DD326" s="36"/>
      <c r="DE326" s="36"/>
      <c r="DF326" s="36"/>
      <c r="DG326" s="36"/>
      <c r="DH326" s="36"/>
      <c r="DJ326" s="50"/>
      <c r="DK326" s="50">
        <v>0.1</v>
      </c>
      <c r="DU326" s="49"/>
      <c r="DV326" s="148"/>
      <c r="DW326" s="49"/>
      <c r="DX326" s="49"/>
      <c r="DY326" s="49"/>
      <c r="DZ326" s="49"/>
      <c r="EA326" s="49"/>
    </row>
    <row r="327" spans="1:137" s="37" customFormat="1" ht="15" hidden="1" customHeight="1" thickBot="1">
      <c r="A327" s="24"/>
      <c r="X327" s="74"/>
      <c r="AB327" s="75"/>
      <c r="AD327" s="78"/>
      <c r="AE327" s="78"/>
      <c r="AG327" s="78"/>
      <c r="AH327" s="80"/>
      <c r="AJ327" s="81"/>
      <c r="AL327" s="85"/>
      <c r="AM327" s="85"/>
      <c r="AO327" s="78"/>
      <c r="AR327" s="81"/>
      <c r="AW327" s="78"/>
      <c r="AZ327" s="81"/>
      <c r="BB327" s="78"/>
      <c r="BD327" s="78"/>
      <c r="BG327" s="81"/>
      <c r="BI327" s="78"/>
      <c r="BK327" s="78"/>
      <c r="BN327" s="81"/>
      <c r="BP327" s="78"/>
      <c r="BQ327" s="78"/>
      <c r="BS327" s="78"/>
      <c r="BV327" s="81"/>
      <c r="BX327" s="78"/>
      <c r="BZ327" s="78"/>
      <c r="CC327" s="117"/>
      <c r="CD327" s="118" t="s">
        <v>585</v>
      </c>
      <c r="CE327" s="99" t="s">
        <v>576</v>
      </c>
      <c r="CF327" s="103">
        <v>5.4199999999999998E-2</v>
      </c>
      <c r="CG327" s="99" t="s">
        <v>577</v>
      </c>
      <c r="CH327" s="105">
        <v>0.3</v>
      </c>
      <c r="CI327" s="105">
        <v>0.5</v>
      </c>
      <c r="CJ327" s="104" t="s">
        <v>385</v>
      </c>
      <c r="CK327" s="46"/>
      <c r="CL327" s="103">
        <v>1225</v>
      </c>
      <c r="CM327" s="99" t="s">
        <v>574</v>
      </c>
      <c r="CN327" s="46"/>
      <c r="CO327" s="46"/>
      <c r="CP327" s="46"/>
      <c r="CQ327" s="48"/>
      <c r="CR327" s="46"/>
      <c r="CS327" s="46"/>
      <c r="CT327" s="48"/>
      <c r="CU327" s="48"/>
      <c r="CV327" s="48"/>
      <c r="CW327" s="36"/>
      <c r="CX327" s="36"/>
      <c r="CY327" s="36"/>
      <c r="CZ327" s="36"/>
      <c r="DA327" s="36"/>
      <c r="DB327" s="36"/>
      <c r="DC327" s="36"/>
      <c r="DD327" s="36"/>
      <c r="DE327" s="36"/>
      <c r="DF327" s="36"/>
      <c r="DG327" s="36"/>
      <c r="DH327" s="36"/>
      <c r="DJ327" s="50">
        <v>0.2</v>
      </c>
      <c r="DK327" s="50">
        <v>0.25</v>
      </c>
      <c r="DS327" s="37" t="s">
        <v>578</v>
      </c>
      <c r="DT327" s="37" t="s">
        <v>576</v>
      </c>
      <c r="DU327" s="49">
        <v>49</v>
      </c>
      <c r="DV327" s="148">
        <f t="shared" ref="DV327:DV328" si="593">+DU327*21</f>
        <v>1029</v>
      </c>
      <c r="DW327" s="49" t="s">
        <v>574</v>
      </c>
      <c r="DX327" s="49">
        <f t="shared" si="592"/>
        <v>1225</v>
      </c>
      <c r="DY327" s="49"/>
      <c r="DZ327" s="49"/>
      <c r="EA327" s="49"/>
    </row>
    <row r="328" spans="1:137" s="37" customFormat="1" ht="15" hidden="1" customHeight="1" thickBot="1">
      <c r="A328" s="24"/>
      <c r="X328" s="74"/>
      <c r="AB328" s="75"/>
      <c r="AD328" s="78"/>
      <c r="AE328" s="78"/>
      <c r="AG328" s="78"/>
      <c r="AH328" s="80"/>
      <c r="AJ328" s="81"/>
      <c r="AL328" s="85"/>
      <c r="AM328" s="85"/>
      <c r="AO328" s="78"/>
      <c r="AR328" s="81"/>
      <c r="AW328" s="78"/>
      <c r="AZ328" s="81"/>
      <c r="BB328" s="78"/>
      <c r="BD328" s="78"/>
      <c r="BG328" s="81"/>
      <c r="BI328" s="78"/>
      <c r="BK328" s="78"/>
      <c r="BN328" s="81"/>
      <c r="BP328" s="78"/>
      <c r="BQ328" s="78"/>
      <c r="BS328" s="78"/>
      <c r="BV328" s="81"/>
      <c r="BX328" s="78"/>
      <c r="BZ328" s="78"/>
      <c r="CC328" s="117"/>
      <c r="CD328" s="118" t="s">
        <v>586</v>
      </c>
      <c r="CE328" s="99" t="s">
        <v>576</v>
      </c>
      <c r="CF328" s="103">
        <v>9.522E-5</v>
      </c>
      <c r="CG328" s="99" t="s">
        <v>577</v>
      </c>
      <c r="CH328" s="105">
        <v>0.3</v>
      </c>
      <c r="CI328" s="105">
        <v>0.5</v>
      </c>
      <c r="CJ328" s="104" t="s">
        <v>587</v>
      </c>
      <c r="CK328" s="46"/>
      <c r="CL328" s="103">
        <v>1375</v>
      </c>
      <c r="CM328" s="99" t="s">
        <v>574</v>
      </c>
      <c r="CN328" s="46"/>
      <c r="CO328" s="46"/>
      <c r="CP328" s="46"/>
      <c r="CQ328" s="48"/>
      <c r="CR328" s="46"/>
      <c r="CS328" s="46"/>
      <c r="CT328" s="48"/>
      <c r="CU328" s="48"/>
      <c r="CV328" s="48"/>
      <c r="CW328" s="36"/>
      <c r="CX328" s="36"/>
      <c r="CY328" s="36"/>
      <c r="CZ328" s="36"/>
      <c r="DA328" s="36"/>
      <c r="DB328" s="36"/>
      <c r="DC328" s="36"/>
      <c r="DD328" s="36"/>
      <c r="DE328" s="36"/>
      <c r="DF328" s="36"/>
      <c r="DG328" s="36"/>
      <c r="DH328" s="36"/>
      <c r="DJ328" s="50">
        <v>0.2</v>
      </c>
      <c r="DK328" s="50">
        <v>0.25</v>
      </c>
      <c r="DS328" s="37" t="s">
        <v>579</v>
      </c>
      <c r="DT328" s="37" t="s">
        <v>576</v>
      </c>
      <c r="DU328" s="49">
        <v>55</v>
      </c>
      <c r="DV328" s="148">
        <f t="shared" si="593"/>
        <v>1155</v>
      </c>
      <c r="DW328" s="49" t="s">
        <v>574</v>
      </c>
      <c r="DX328" s="49">
        <f t="shared" si="592"/>
        <v>1375</v>
      </c>
      <c r="DY328" s="49"/>
      <c r="DZ328" s="49"/>
      <c r="EA328" s="49"/>
    </row>
    <row r="329" spans="1:137" s="37" customFormat="1" hidden="1">
      <c r="A329" s="24"/>
      <c r="X329" s="74"/>
      <c r="AB329" s="75"/>
      <c r="AD329" s="78"/>
      <c r="AE329" s="78"/>
      <c r="AG329" s="78"/>
      <c r="AH329" s="80"/>
      <c r="AJ329" s="81"/>
      <c r="AL329" s="85"/>
      <c r="AM329" s="85"/>
      <c r="AO329" s="78"/>
      <c r="AR329" s="81"/>
      <c r="AW329" s="78"/>
      <c r="AZ329" s="81"/>
      <c r="BB329" s="78"/>
      <c r="BD329" s="78"/>
      <c r="BG329" s="81"/>
      <c r="BI329" s="78"/>
      <c r="BK329" s="78"/>
      <c r="BN329" s="81"/>
      <c r="BP329" s="78"/>
      <c r="BQ329" s="78"/>
      <c r="BS329" s="78"/>
      <c r="BV329" s="81"/>
      <c r="BX329" s="78"/>
      <c r="BZ329" s="78"/>
      <c r="CC329" s="45"/>
      <c r="CD329" s="36"/>
      <c r="CE329" s="46"/>
      <c r="CF329" s="46"/>
      <c r="CG329" s="46"/>
      <c r="CH329" s="47"/>
      <c r="CI329" s="47"/>
      <c r="CJ329" s="47"/>
      <c r="CK329" s="46"/>
      <c r="CL329" s="46"/>
      <c r="CM329" s="46"/>
      <c r="CN329" s="46"/>
      <c r="CO329" s="46"/>
      <c r="CP329" s="46"/>
      <c r="CQ329" s="46"/>
      <c r="CR329" s="46"/>
      <c r="CS329" s="46"/>
      <c r="CT329" s="46"/>
      <c r="CU329" s="46"/>
      <c r="CV329" s="46"/>
      <c r="CW329" s="48"/>
      <c r="CX329" s="46"/>
      <c r="CY329" s="46"/>
      <c r="CZ329" s="48"/>
      <c r="DA329" s="48"/>
      <c r="DB329" s="48"/>
      <c r="DC329" s="48"/>
      <c r="DD329" s="46"/>
      <c r="DE329" s="46"/>
      <c r="DF329" s="48"/>
      <c r="DG329" s="48"/>
      <c r="DH329" s="48"/>
      <c r="DI329" s="49"/>
      <c r="DJ329" s="50"/>
      <c r="DK329" s="50">
        <f t="shared" ref="DK329:DK393" si="594">CI329</f>
        <v>0</v>
      </c>
      <c r="DS329" s="37">
        <v>0</v>
      </c>
      <c r="DT329" s="37">
        <v>0</v>
      </c>
      <c r="DU329" s="49">
        <v>0</v>
      </c>
      <c r="DV329" s="37">
        <v>0</v>
      </c>
      <c r="DX329" s="49">
        <f>+DU354*25</f>
        <v>1050</v>
      </c>
      <c r="DY329" s="49"/>
      <c r="DZ329" s="49"/>
      <c r="EA329" s="49"/>
    </row>
    <row r="330" spans="1:137" s="37" customFormat="1" ht="15.75" hidden="1" customHeight="1" thickBot="1">
      <c r="A330" s="24"/>
      <c r="U330" s="150">
        <v>0</v>
      </c>
      <c r="V330" s="150">
        <v>0</v>
      </c>
      <c r="W330" s="150">
        <v>5.0000000000000001E-3</v>
      </c>
      <c r="X330" s="151">
        <v>0.02</v>
      </c>
      <c r="Y330" s="150">
        <v>5.0000000000000001E-3</v>
      </c>
      <c r="Z330" s="150">
        <v>0</v>
      </c>
      <c r="AA330" s="150">
        <v>0.01</v>
      </c>
      <c r="AB330" s="155">
        <v>7.0000000000000007E-2</v>
      </c>
      <c r="AC330" s="150">
        <v>7.0000000000000007E-2</v>
      </c>
      <c r="AD330" s="158">
        <v>0</v>
      </c>
      <c r="AE330" s="158">
        <v>0</v>
      </c>
      <c r="AF330" s="150">
        <v>6.0000000000000001E-3</v>
      </c>
      <c r="AG330" s="158"/>
      <c r="AH330" s="150">
        <v>0.1</v>
      </c>
      <c r="AI330" s="158">
        <v>0.01</v>
      </c>
      <c r="AJ330" s="159">
        <v>0.01</v>
      </c>
      <c r="AK330" s="150">
        <v>0.01</v>
      </c>
      <c r="AL330" s="38"/>
      <c r="AM330" s="85"/>
      <c r="AO330" s="78"/>
      <c r="AR330" s="81"/>
      <c r="AW330" s="78"/>
      <c r="AZ330" s="81"/>
      <c r="BB330" s="78"/>
      <c r="BD330" s="78"/>
      <c r="BG330" s="81"/>
      <c r="BI330" s="78"/>
      <c r="BK330" s="78"/>
      <c r="BN330" s="81"/>
      <c r="BP330" s="78"/>
      <c r="BQ330" s="78"/>
      <c r="BS330" s="78"/>
      <c r="BV330" s="81"/>
      <c r="BX330" s="78"/>
      <c r="BZ330" s="78"/>
      <c r="CC330" s="45"/>
      <c r="CD330" s="36"/>
      <c r="CE330" s="46"/>
      <c r="CF330" s="46"/>
      <c r="CG330" s="46"/>
      <c r="CH330" s="47"/>
      <c r="CI330" s="47"/>
      <c r="CJ330" s="47"/>
      <c r="CK330" s="46"/>
      <c r="CL330" s="46"/>
      <c r="CM330" s="46"/>
      <c r="CN330" s="46"/>
      <c r="CO330" s="46"/>
      <c r="CP330" s="46"/>
      <c r="CQ330" s="46"/>
      <c r="CR330" s="46"/>
      <c r="CS330" s="46"/>
      <c r="CT330" s="46"/>
      <c r="CU330" s="46"/>
      <c r="CV330" s="46"/>
      <c r="CW330" s="48"/>
      <c r="CX330" s="46"/>
      <c r="CY330" s="46"/>
      <c r="CZ330" s="48"/>
      <c r="DA330" s="48"/>
      <c r="DB330" s="48"/>
      <c r="DC330" s="48"/>
      <c r="DD330" s="46"/>
      <c r="DE330" s="46"/>
      <c r="DF330" s="48"/>
      <c r="DG330" s="48"/>
      <c r="DH330" s="48"/>
      <c r="DI330" s="49"/>
      <c r="DJ330" s="50"/>
      <c r="DK330" s="50">
        <f t="shared" si="594"/>
        <v>0</v>
      </c>
      <c r="DU330" s="49"/>
      <c r="DX330" s="49"/>
      <c r="DY330" s="49"/>
      <c r="DZ330" s="49"/>
      <c r="EA330" s="49"/>
    </row>
    <row r="331" spans="1:137" s="37" customFormat="1" ht="14.65" hidden="1" thickBot="1">
      <c r="A331" s="24"/>
      <c r="U331" s="149" t="s">
        <v>588</v>
      </c>
      <c r="X331" s="74"/>
      <c r="AB331" s="75"/>
      <c r="AD331" s="78"/>
      <c r="AE331" s="78"/>
      <c r="AG331" s="78"/>
      <c r="AI331" s="78"/>
      <c r="AJ331" s="81"/>
      <c r="AM331" s="127" t="s">
        <v>589</v>
      </c>
      <c r="AN331" s="127"/>
      <c r="AO331" s="127"/>
      <c r="AP331" s="127"/>
      <c r="AQ331" s="127"/>
      <c r="AR331" s="81"/>
      <c r="AT331" s="127"/>
      <c r="AU331" s="127"/>
      <c r="AV331" s="127"/>
      <c r="AW331" s="127"/>
      <c r="AX331" s="127"/>
      <c r="AY331" s="127"/>
      <c r="AZ331" s="161"/>
      <c r="BA331" s="127"/>
      <c r="BB331" s="127"/>
      <c r="BC331" s="127"/>
      <c r="BD331" s="127"/>
      <c r="BE331" s="127"/>
      <c r="BF331" s="127"/>
      <c r="BG331" s="161"/>
      <c r="BH331" s="127"/>
      <c r="BI331" s="127"/>
      <c r="BJ331" s="127"/>
      <c r="BK331" s="127"/>
      <c r="BM331" s="127"/>
      <c r="BN331" s="127"/>
      <c r="BO331" s="161"/>
      <c r="BP331" s="127"/>
      <c r="BQ331" s="127"/>
      <c r="BR331" s="127"/>
      <c r="BU331" s="127"/>
      <c r="BV331" s="161"/>
      <c r="BW331" s="127"/>
      <c r="BX331" s="127"/>
      <c r="BY331" s="127"/>
      <c r="CC331" s="45"/>
      <c r="CD331" s="36"/>
      <c r="CE331" s="46"/>
      <c r="CF331" s="551" t="s">
        <v>590</v>
      </c>
      <c r="CG331" s="552"/>
      <c r="CH331" s="552"/>
      <c r="CI331" s="552"/>
      <c r="CJ331" s="553"/>
      <c r="CK331" s="551" t="s">
        <v>591</v>
      </c>
      <c r="CL331" s="552"/>
      <c r="CM331" s="552"/>
      <c r="CN331" s="552"/>
      <c r="CO331" s="553"/>
      <c r="CP331" s="46"/>
      <c r="CQ331" s="46"/>
      <c r="CR331" s="46"/>
      <c r="CS331" s="46"/>
      <c r="CT331" s="46"/>
      <c r="CU331" s="46"/>
      <c r="CV331" s="46"/>
      <c r="CW331" s="48"/>
      <c r="CX331" s="46"/>
      <c r="CY331" s="46"/>
      <c r="CZ331" s="48"/>
      <c r="DA331" s="48"/>
      <c r="DB331" s="48"/>
      <c r="DC331" s="48"/>
      <c r="DD331" s="46"/>
      <c r="DE331" s="46"/>
      <c r="DF331" s="48"/>
      <c r="DG331" s="48"/>
      <c r="DH331" s="48"/>
      <c r="DI331" s="49"/>
      <c r="DJ331" s="50"/>
      <c r="DK331" s="50">
        <f t="shared" si="594"/>
        <v>0</v>
      </c>
      <c r="DS331" s="49" t="s">
        <v>592</v>
      </c>
      <c r="DT331" s="548" t="s">
        <v>593</v>
      </c>
      <c r="DU331" s="548" t="s">
        <v>594</v>
      </c>
      <c r="DV331" s="548"/>
      <c r="DW331" s="560" t="s">
        <v>595</v>
      </c>
      <c r="DX331" s="548" t="s">
        <v>596</v>
      </c>
      <c r="DY331" s="548" t="s">
        <v>597</v>
      </c>
      <c r="DZ331" s="548" t="s">
        <v>598</v>
      </c>
      <c r="EA331" s="548" t="s">
        <v>599</v>
      </c>
      <c r="EB331" s="548" t="s">
        <v>594</v>
      </c>
      <c r="EC331" s="548"/>
      <c r="ED331" s="548" t="s">
        <v>600</v>
      </c>
      <c r="EE331" s="548"/>
    </row>
    <row r="332" spans="1:137" s="37" customFormat="1" ht="21.75" hidden="1" customHeight="1">
      <c r="A332" s="24"/>
      <c r="U332" s="150">
        <v>0</v>
      </c>
      <c r="V332" s="150">
        <v>0</v>
      </c>
      <c r="W332" s="150">
        <v>5.0000000000000001E-3</v>
      </c>
      <c r="X332" s="151">
        <v>0.02</v>
      </c>
      <c r="Y332" s="150">
        <v>5.0000000000000001E-3</v>
      </c>
      <c r="Z332" s="150">
        <v>0</v>
      </c>
      <c r="AA332" s="150">
        <v>0.01</v>
      </c>
      <c r="AB332" s="155">
        <v>7.0000000000000007E-2</v>
      </c>
      <c r="AC332" s="150">
        <v>7.0000000000000007E-2</v>
      </c>
      <c r="AD332" s="158">
        <v>0</v>
      </c>
      <c r="AE332" s="158">
        <v>0</v>
      </c>
      <c r="AF332" s="150">
        <v>6.0000000000000001E-3</v>
      </c>
      <c r="AG332" s="158"/>
      <c r="AH332" s="150">
        <v>0.1</v>
      </c>
      <c r="AI332" s="158">
        <v>0.01</v>
      </c>
      <c r="AJ332" s="159">
        <v>0.01</v>
      </c>
      <c r="AK332" s="150">
        <v>0.01</v>
      </c>
      <c r="AL332" s="38"/>
      <c r="AM332" s="554" t="s">
        <v>601</v>
      </c>
      <c r="AN332" s="554"/>
      <c r="AO332" s="554"/>
      <c r="AP332" s="554"/>
      <c r="AQ332" s="554"/>
      <c r="AR332" s="161" t="s">
        <v>602</v>
      </c>
      <c r="AS332" s="127" t="s">
        <v>602</v>
      </c>
      <c r="AT332" s="127"/>
      <c r="AU332" s="127"/>
      <c r="AV332" s="127"/>
      <c r="AW332" s="127"/>
      <c r="AX332" s="127"/>
      <c r="AY332" s="127"/>
      <c r="AZ332" s="161"/>
      <c r="BA332" s="127"/>
      <c r="BB332" s="127"/>
      <c r="BC332" s="127"/>
      <c r="BD332" s="127"/>
      <c r="BE332" s="127"/>
      <c r="BF332" s="127"/>
      <c r="BG332" s="161"/>
      <c r="BH332" s="127"/>
      <c r="BI332" s="127"/>
      <c r="BJ332" s="127"/>
      <c r="BK332" s="127"/>
      <c r="BM332" s="127"/>
      <c r="BN332" s="127"/>
      <c r="BO332" s="161"/>
      <c r="BP332" s="127"/>
      <c r="BQ332" s="127"/>
      <c r="BR332" s="127"/>
      <c r="BU332" s="127"/>
      <c r="BV332" s="161"/>
      <c r="BW332" s="127"/>
      <c r="BX332" s="127"/>
      <c r="BY332" s="127"/>
      <c r="CC332" s="45"/>
      <c r="CD332" s="549" t="s">
        <v>267</v>
      </c>
      <c r="CE332" s="92"/>
      <c r="CF332" s="549" t="s">
        <v>603</v>
      </c>
      <c r="CG332" s="92"/>
      <c r="CH332" s="549" t="s">
        <v>283</v>
      </c>
      <c r="CI332" s="549" t="s">
        <v>283</v>
      </c>
      <c r="CJ332" s="549" t="s">
        <v>284</v>
      </c>
      <c r="CK332" s="549" t="s">
        <v>604</v>
      </c>
      <c r="CL332" s="92"/>
      <c r="CM332" s="549" t="s">
        <v>283</v>
      </c>
      <c r="CN332" s="549" t="s">
        <v>283</v>
      </c>
      <c r="CO332" s="549" t="s">
        <v>284</v>
      </c>
      <c r="CP332" s="46"/>
      <c r="CQ332" s="46"/>
      <c r="CR332" s="46"/>
      <c r="CS332" s="46"/>
      <c r="CT332" s="46"/>
      <c r="CU332" s="46"/>
      <c r="CV332" s="46"/>
      <c r="CW332" s="48"/>
      <c r="CX332" s="46"/>
      <c r="CY332" s="46"/>
      <c r="CZ332" s="48"/>
      <c r="DA332" s="48"/>
      <c r="DB332" s="48"/>
      <c r="DC332" s="48"/>
      <c r="DD332" s="46"/>
      <c r="DE332" s="46"/>
      <c r="DF332" s="48"/>
      <c r="DG332" s="48"/>
      <c r="DH332" s="48"/>
      <c r="DI332" s="49"/>
      <c r="DJ332" s="50"/>
      <c r="DK332" s="50" t="str">
        <f t="shared" si="594"/>
        <v>Incertidumbre (+/- %)</v>
      </c>
      <c r="DS332" s="49"/>
      <c r="DT332" s="548"/>
      <c r="DU332" s="175">
        <v>1995</v>
      </c>
      <c r="DV332" s="49">
        <v>2007</v>
      </c>
      <c r="DW332" s="560"/>
      <c r="DX332" s="548"/>
      <c r="DY332" s="548"/>
      <c r="DZ332" s="548"/>
      <c r="EA332" s="548"/>
      <c r="EB332" s="49">
        <v>1995</v>
      </c>
      <c r="EC332" s="49">
        <v>2007</v>
      </c>
      <c r="ED332" s="49">
        <v>1995</v>
      </c>
      <c r="EE332" s="49">
        <v>2007</v>
      </c>
    </row>
    <row r="333" spans="1:137" s="37" customFormat="1" ht="34.5" hidden="1" customHeight="1" thickBot="1">
      <c r="S333" s="149" t="s">
        <v>605</v>
      </c>
      <c r="T333" s="149" t="s">
        <v>606</v>
      </c>
      <c r="U333" s="149" t="s">
        <v>607</v>
      </c>
      <c r="V333" s="149" t="s">
        <v>608</v>
      </c>
      <c r="W333" s="149" t="s">
        <v>609</v>
      </c>
      <c r="X333" s="152" t="s">
        <v>610</v>
      </c>
      <c r="Y333" s="149" t="s">
        <v>611</v>
      </c>
      <c r="Z333" s="149" t="s">
        <v>612</v>
      </c>
      <c r="AA333" s="149" t="s">
        <v>613</v>
      </c>
      <c r="AB333" s="156" t="s">
        <v>614</v>
      </c>
      <c r="AC333" s="149" t="s">
        <v>614</v>
      </c>
      <c r="AD333" s="149" t="s">
        <v>615</v>
      </c>
      <c r="AE333" s="149" t="s">
        <v>616</v>
      </c>
      <c r="AF333" s="149" t="s">
        <v>617</v>
      </c>
      <c r="AG333" s="150"/>
      <c r="AH333" s="149" t="s">
        <v>618</v>
      </c>
      <c r="AI333" s="149" t="s">
        <v>619</v>
      </c>
      <c r="AJ333" s="160" t="s">
        <v>620</v>
      </c>
      <c r="AK333" s="149" t="s">
        <v>620</v>
      </c>
      <c r="AL333" s="149" t="s">
        <v>505</v>
      </c>
      <c r="AM333" s="162" t="s">
        <v>621</v>
      </c>
      <c r="AN333" s="162" t="s">
        <v>622</v>
      </c>
      <c r="AO333" s="36"/>
      <c r="AP333" s="162" t="s">
        <v>623</v>
      </c>
      <c r="AQ333" s="162" t="s">
        <v>624</v>
      </c>
      <c r="AR333" s="164" t="s">
        <v>625</v>
      </c>
      <c r="AS333" s="166" t="s">
        <v>625</v>
      </c>
      <c r="AT333" s="166" t="s">
        <v>626</v>
      </c>
      <c r="AU333" s="167" t="s">
        <v>607</v>
      </c>
      <c r="AV333" s="167" t="s">
        <v>608</v>
      </c>
      <c r="AX333" s="167" t="s">
        <v>609</v>
      </c>
      <c r="AY333" s="167" t="s">
        <v>610</v>
      </c>
      <c r="AZ333" s="169" t="s">
        <v>611</v>
      </c>
      <c r="BA333" s="167" t="s">
        <v>611</v>
      </c>
      <c r="BB333" s="167" t="s">
        <v>612</v>
      </c>
      <c r="BC333" s="167" t="s">
        <v>613</v>
      </c>
      <c r="BE333" s="167" t="s">
        <v>614</v>
      </c>
      <c r="BF333" s="167" t="s">
        <v>615</v>
      </c>
      <c r="BG333" s="169" t="s">
        <v>616</v>
      </c>
      <c r="BH333" s="167" t="s">
        <v>616</v>
      </c>
      <c r="BI333" s="167" t="s">
        <v>617</v>
      </c>
      <c r="BJ333" s="167" t="s">
        <v>618</v>
      </c>
      <c r="BK333" s="167" t="s">
        <v>619</v>
      </c>
      <c r="BL333" s="167" t="s">
        <v>620</v>
      </c>
      <c r="BM333" s="167" t="s">
        <v>614</v>
      </c>
      <c r="BN333" s="167" t="s">
        <v>615</v>
      </c>
      <c r="BO333" s="169" t="s">
        <v>616</v>
      </c>
      <c r="BP333" s="167" t="s">
        <v>616</v>
      </c>
      <c r="BQ333" s="167" t="s">
        <v>618</v>
      </c>
      <c r="BR333" s="167" t="s">
        <v>619</v>
      </c>
      <c r="BS333" s="167" t="s">
        <v>620</v>
      </c>
      <c r="BT333" s="167" t="s">
        <v>505</v>
      </c>
      <c r="BU333" s="167"/>
      <c r="BV333" s="169"/>
      <c r="BW333" s="167"/>
      <c r="BX333" s="167"/>
      <c r="BY333" s="167"/>
      <c r="BZ333" s="167"/>
      <c r="CA333" s="167"/>
      <c r="CC333" s="45"/>
      <c r="CD333" s="550"/>
      <c r="CE333" s="94" t="s">
        <v>290</v>
      </c>
      <c r="CF333" s="550"/>
      <c r="CG333" s="94" t="s">
        <v>291</v>
      </c>
      <c r="CH333" s="550"/>
      <c r="CI333" s="550"/>
      <c r="CJ333" s="550"/>
      <c r="CK333" s="550"/>
      <c r="CL333" s="94" t="s">
        <v>291</v>
      </c>
      <c r="CM333" s="550"/>
      <c r="CN333" s="550"/>
      <c r="CO333" s="550"/>
      <c r="CP333" s="46"/>
      <c r="CQ333" s="46"/>
      <c r="CR333" s="46"/>
      <c r="CS333" s="46"/>
      <c r="CT333" s="46"/>
      <c r="CU333" s="46"/>
      <c r="CV333" s="46"/>
      <c r="CW333" s="48"/>
      <c r="CX333" s="46"/>
      <c r="CY333" s="46"/>
      <c r="CZ333" s="48"/>
      <c r="DA333" s="48"/>
      <c r="DB333" s="48"/>
      <c r="DC333" s="48"/>
      <c r="DD333" s="46"/>
      <c r="DE333" s="46"/>
      <c r="DF333" s="48"/>
      <c r="DG333" s="48"/>
      <c r="DH333" s="48"/>
      <c r="DI333" s="49"/>
      <c r="DJ333" s="50"/>
      <c r="DK333" s="50">
        <f t="shared" si="594"/>
        <v>0</v>
      </c>
      <c r="DR333" s="37" t="s">
        <v>267</v>
      </c>
      <c r="DS333" s="49">
        <v>0</v>
      </c>
      <c r="DT333" s="175">
        <v>0</v>
      </c>
      <c r="DU333" s="175">
        <v>0</v>
      </c>
      <c r="DV333" s="49">
        <v>0</v>
      </c>
      <c r="DW333" s="49">
        <v>0</v>
      </c>
      <c r="DX333" s="175">
        <v>0</v>
      </c>
      <c r="DY333" s="175">
        <v>0</v>
      </c>
      <c r="DZ333" s="175">
        <v>0</v>
      </c>
      <c r="EA333" s="175">
        <v>0</v>
      </c>
      <c r="EB333" s="49">
        <v>0</v>
      </c>
      <c r="EC333" s="49">
        <v>0</v>
      </c>
      <c r="ED333" s="49">
        <v>0</v>
      </c>
      <c r="EE333" s="49">
        <v>0</v>
      </c>
      <c r="EF333" s="37">
        <v>0</v>
      </c>
    </row>
    <row r="334" spans="1:137" s="37" customFormat="1" ht="28.15" hidden="1" thickBot="1">
      <c r="Q334" s="127" t="s">
        <v>627</v>
      </c>
      <c r="S334" s="150">
        <v>0.48</v>
      </c>
      <c r="T334" s="150">
        <v>400</v>
      </c>
      <c r="U334" s="153">
        <f t="shared" ref="U334:AJ351" si="595">((($S334*($T334/1000)*365)*1)*U$330)*(44/28)</f>
        <v>0</v>
      </c>
      <c r="V334" s="153">
        <f t="shared" si="595"/>
        <v>0</v>
      </c>
      <c r="W334" s="153">
        <f>((($S334*($T334/1000)*365)*1)*W$330)*(44/28)</f>
        <v>0.55062857142857136</v>
      </c>
      <c r="X334" s="152">
        <f t="shared" si="595"/>
        <v>2.2025142857142854</v>
      </c>
      <c r="Y334" s="153">
        <f t="shared" si="595"/>
        <v>0.55062857142857136</v>
      </c>
      <c r="Z334" s="153">
        <f t="shared" si="595"/>
        <v>0</v>
      </c>
      <c r="AA334" s="153">
        <f t="shared" si="595"/>
        <v>1.1012571428571427</v>
      </c>
      <c r="AB334" s="156">
        <f t="shared" si="595"/>
        <v>7.708800000000001</v>
      </c>
      <c r="AC334" s="153">
        <f t="shared" si="595"/>
        <v>7.708800000000001</v>
      </c>
      <c r="AD334" s="153">
        <f t="shared" si="595"/>
        <v>0</v>
      </c>
      <c r="AE334" s="153">
        <f t="shared" si="595"/>
        <v>0</v>
      </c>
      <c r="AF334" s="153">
        <f t="shared" si="595"/>
        <v>0.66075428571428574</v>
      </c>
      <c r="AG334" s="153">
        <f t="shared" si="595"/>
        <v>0</v>
      </c>
      <c r="AH334" s="153">
        <f t="shared" si="595"/>
        <v>11.012571428571428</v>
      </c>
      <c r="AI334" s="153">
        <v>0</v>
      </c>
      <c r="AJ334" s="160">
        <f t="shared" si="595"/>
        <v>1.1012571428571427</v>
      </c>
      <c r="AK334" s="153">
        <f t="shared" ref="AK334:AK349" si="596">((($S334*($T334/1000)*365)*1)*AK$330)*(44/28)</f>
        <v>1.1012571428571427</v>
      </c>
      <c r="AL334" s="163">
        <f t="shared" ref="AL334:AL369" si="597">AVERAGE(U334:AK334)</f>
        <v>1.9822628571428575</v>
      </c>
      <c r="AM334" s="36">
        <v>1</v>
      </c>
      <c r="AN334" s="36">
        <v>58</v>
      </c>
      <c r="AP334" s="36">
        <v>29</v>
      </c>
      <c r="AQ334" s="165">
        <v>0.3</v>
      </c>
      <c r="AR334" s="164">
        <v>2.9</v>
      </c>
      <c r="AS334" s="166">
        <v>2.9</v>
      </c>
      <c r="AT334" s="166">
        <v>0.13</v>
      </c>
      <c r="AU334" s="168">
        <f>(AS334*365)*(AT334*0.67*0.01*1)</f>
        <v>0.92195350000000009</v>
      </c>
      <c r="AV334" s="168">
        <f>(AS334*365)*(AT334*0.67*0.001*1)</f>
        <v>9.2195350000000023E-2</v>
      </c>
      <c r="AW334" s="170"/>
      <c r="AX334" s="168">
        <f>(AS334*365)*(AT334*0.67*0.02*1)</f>
        <v>1.8439070000000002</v>
      </c>
      <c r="AY334" s="168">
        <f>(AS334*365)*(AT334*0.67*0.01*1)</f>
        <v>0.92195350000000009</v>
      </c>
      <c r="AZ334" s="169">
        <f>(AR334*365)*(AS334*0.67*0.25*1)</f>
        <v>514.16637500000002</v>
      </c>
      <c r="BA334" s="168">
        <f>(AS334*365)*(AT334*0.67*0.25*1)</f>
        <v>23.048837500000001</v>
      </c>
      <c r="BB334" s="168">
        <f>(AS334*365)*(AT334*0.67*0.73*1)</f>
        <v>67.302605499999999</v>
      </c>
      <c r="BC334" s="168">
        <f>(AS334*365)*(AT334*0.67*0.03*1)</f>
        <v>2.7658605000000005</v>
      </c>
      <c r="BD334" s="170"/>
      <c r="BE334" s="168">
        <f>(AS334*365)*(AT334*0.67*0.25*1)</f>
        <v>23.048837500000001</v>
      </c>
      <c r="BF334" s="168">
        <f t="shared" ref="BF334:BF372" si="598">(AS334*365)*(AT334*0.67*1*1)</f>
        <v>92.195350000000005</v>
      </c>
      <c r="BG334" s="169">
        <f t="shared" ref="BG334:BH372" si="599">(AR334*365)*(AS334*0.67*0.1*1)</f>
        <v>205.66655000000003</v>
      </c>
      <c r="BH334" s="168">
        <f t="shared" si="599"/>
        <v>9.2195350000000005</v>
      </c>
      <c r="BI334" s="168">
        <f t="shared" ref="BI334:BI372" si="600">(AS334*365)*(AT334*0.67*0.005*1)</f>
        <v>0.46097675000000005</v>
      </c>
      <c r="BJ334" s="168">
        <f>(AS334*365)*(AT334*0.67*0.005*1)</f>
        <v>0.46097675000000005</v>
      </c>
      <c r="BK334" s="168">
        <v>0</v>
      </c>
      <c r="BL334" s="168">
        <v>0</v>
      </c>
      <c r="BM334" s="168">
        <f>(BA334*365)*(BB334*0.67*0.25*1)</f>
        <v>94839.352304668209</v>
      </c>
      <c r="BN334" s="168">
        <f t="shared" ref="BN334:BN357" si="601">(BA334*365)*(BB334*0.67*1*1)</f>
        <v>379357.40921867284</v>
      </c>
      <c r="BO334" s="169">
        <f t="shared" ref="BO334:BP357" si="602">(AZ334*365)*(BA334*0.67*0.1*1)</f>
        <v>289814.66984566679</v>
      </c>
      <c r="BP334" s="168">
        <f t="shared" si="602"/>
        <v>37935.740921867284</v>
      </c>
      <c r="BQ334" s="168">
        <f>(BA334*365)*(BB334*0.67*0.005*1)</f>
        <v>1896.7870460933643</v>
      </c>
      <c r="BR334" s="168">
        <v>0</v>
      </c>
      <c r="BS334" s="168">
        <v>0</v>
      </c>
      <c r="BT334" s="167">
        <f t="shared" ref="BT334:BT372" si="603">AVERAGE(AU334:BL334)</f>
        <v>58.882244615624998</v>
      </c>
      <c r="BU334" s="168"/>
      <c r="BV334" s="169"/>
      <c r="BW334" s="168"/>
      <c r="BX334" s="168"/>
      <c r="BY334" s="168"/>
      <c r="BZ334" s="168"/>
      <c r="CA334" s="167"/>
      <c r="CC334" s="117" t="s">
        <v>267</v>
      </c>
      <c r="CD334" s="118" t="str">
        <f t="shared" ref="CD334:CD366" si="604">Q334</f>
        <v>Ganado Lechero - Clima Frío</v>
      </c>
      <c r="CE334" s="99" t="s">
        <v>628</v>
      </c>
      <c r="CF334" s="172">
        <f>BT334</f>
        <v>58.882244615624998</v>
      </c>
      <c r="CG334" s="99" t="s">
        <v>577</v>
      </c>
      <c r="CH334" s="105">
        <v>0.2</v>
      </c>
      <c r="CI334" s="105">
        <v>0.5</v>
      </c>
      <c r="CJ334" s="104" t="s">
        <v>385</v>
      </c>
      <c r="CK334" s="172">
        <f t="shared" ref="CK334:CK366" si="605">AL334</f>
        <v>1.9822628571428575</v>
      </c>
      <c r="CL334" s="99" t="s">
        <v>629</v>
      </c>
      <c r="CM334" s="105">
        <v>0.2</v>
      </c>
      <c r="CN334" s="105">
        <v>0.5</v>
      </c>
      <c r="CO334" s="104" t="s">
        <v>385</v>
      </c>
      <c r="CP334" s="46"/>
      <c r="CQ334" s="103">
        <v>25</v>
      </c>
      <c r="CR334" s="99" t="s">
        <v>574</v>
      </c>
      <c r="CS334" s="46"/>
      <c r="CT334" s="103">
        <v>370.88228571428601</v>
      </c>
      <c r="CU334" s="99" t="s">
        <v>574</v>
      </c>
      <c r="CV334" s="46"/>
      <c r="CW334" s="48"/>
      <c r="CX334" s="46"/>
      <c r="CY334" s="46"/>
      <c r="CZ334" s="48"/>
      <c r="DA334" s="48"/>
      <c r="DB334" s="48"/>
      <c r="DC334" s="48"/>
      <c r="DD334" s="46"/>
      <c r="DE334" s="46"/>
      <c r="DF334" s="48"/>
      <c r="DG334" s="48"/>
      <c r="DH334" s="48"/>
      <c r="DI334" s="49"/>
      <c r="DJ334" s="50">
        <v>0.2</v>
      </c>
      <c r="DK334" s="50">
        <v>0.1</v>
      </c>
      <c r="DR334" s="37" t="s">
        <v>267</v>
      </c>
      <c r="DS334" s="37" t="s">
        <v>630</v>
      </c>
      <c r="DT334" s="37">
        <v>1</v>
      </c>
      <c r="DU334" s="78">
        <f>+DT334*21</f>
        <v>21</v>
      </c>
      <c r="DV334" s="78">
        <f>+DT334*25</f>
        <v>25</v>
      </c>
      <c r="DW334" s="37">
        <v>40</v>
      </c>
      <c r="DX334" s="37">
        <v>0.99</v>
      </c>
      <c r="DY334" s="78">
        <f>+DW334*DX334</f>
        <v>39.6</v>
      </c>
      <c r="DZ334" s="37">
        <v>0.02</v>
      </c>
      <c r="EA334" s="176">
        <f>+DY334*DZ334*44/28</f>
        <v>1.2445714285714284</v>
      </c>
      <c r="EB334" s="176">
        <f>+EA334*310</f>
        <v>385.81714285714281</v>
      </c>
      <c r="EC334" s="176">
        <f>+EA334*298</f>
        <v>370.88228571428567</v>
      </c>
      <c r="ED334" s="177">
        <f>+DU334+EB334</f>
        <v>406.81714285714281</v>
      </c>
      <c r="EE334" s="177">
        <f>+DV334+EC334</f>
        <v>395.88228571428567</v>
      </c>
      <c r="EF334" s="49" t="s">
        <v>628</v>
      </c>
      <c r="EG334" s="37" t="s">
        <v>631</v>
      </c>
    </row>
    <row r="335" spans="1:137" s="37" customFormat="1" ht="28.15" hidden="1" thickBot="1">
      <c r="Q335" s="127" t="s">
        <v>632</v>
      </c>
      <c r="S335" s="150">
        <v>0.48</v>
      </c>
      <c r="T335" s="150">
        <v>400</v>
      </c>
      <c r="U335" s="153">
        <f t="shared" si="595"/>
        <v>0</v>
      </c>
      <c r="V335" s="153">
        <f t="shared" si="595"/>
        <v>0</v>
      </c>
      <c r="W335" s="153">
        <f t="shared" si="595"/>
        <v>0.55062857142857136</v>
      </c>
      <c r="X335" s="152">
        <f t="shared" si="595"/>
        <v>2.2025142857142854</v>
      </c>
      <c r="Y335" s="153">
        <f t="shared" si="595"/>
        <v>0.55062857142857136</v>
      </c>
      <c r="Z335" s="153">
        <f t="shared" si="595"/>
        <v>0</v>
      </c>
      <c r="AA335" s="153">
        <f t="shared" si="595"/>
        <v>1.1012571428571427</v>
      </c>
      <c r="AB335" s="156">
        <f t="shared" si="595"/>
        <v>7.708800000000001</v>
      </c>
      <c r="AC335" s="153">
        <f t="shared" si="595"/>
        <v>7.708800000000001</v>
      </c>
      <c r="AD335" s="153">
        <f t="shared" si="595"/>
        <v>0</v>
      </c>
      <c r="AE335" s="153">
        <f t="shared" si="595"/>
        <v>0</v>
      </c>
      <c r="AF335" s="153">
        <f t="shared" si="595"/>
        <v>0.66075428571428574</v>
      </c>
      <c r="AG335" s="153">
        <f t="shared" si="595"/>
        <v>0</v>
      </c>
      <c r="AH335" s="153">
        <f t="shared" si="595"/>
        <v>11.012571428571428</v>
      </c>
      <c r="AI335" s="153">
        <v>0</v>
      </c>
      <c r="AJ335" s="160">
        <f t="shared" si="595"/>
        <v>1.1012571428571427</v>
      </c>
      <c r="AK335" s="153">
        <f t="shared" si="596"/>
        <v>1.1012571428571427</v>
      </c>
      <c r="AL335" s="163">
        <f t="shared" si="597"/>
        <v>1.9822628571428575</v>
      </c>
      <c r="AM335" s="36">
        <v>1</v>
      </c>
      <c r="AN335" s="36">
        <v>98</v>
      </c>
      <c r="AP335" s="36">
        <v>75</v>
      </c>
      <c r="AQ335" s="165">
        <v>0.3</v>
      </c>
      <c r="AR335" s="164">
        <v>2.9</v>
      </c>
      <c r="AS335" s="166">
        <v>2.9</v>
      </c>
      <c r="AT335" s="166">
        <v>0.13</v>
      </c>
      <c r="AU335" s="168">
        <f>(AS335*365)*(AT335*0.67*0.015*1)</f>
        <v>1.3829302500000002</v>
      </c>
      <c r="AV335" s="168">
        <f>(AS335*365)*(AT335*0.67*0.005*1)</f>
        <v>0.46097675000000005</v>
      </c>
      <c r="AW335" s="170"/>
      <c r="AX335" s="168">
        <f>(AS335*365)*(AT335*0.67*0.04*1)</f>
        <v>3.6878140000000004</v>
      </c>
      <c r="AY335" s="168">
        <f>(AS335*365)*(AT335*0.67*0.015*1)</f>
        <v>1.3829302500000002</v>
      </c>
      <c r="AZ335" s="169">
        <f>(AR335*365)*(AS335*0.67*0.65*1)</f>
        <v>1336.8325749999999</v>
      </c>
      <c r="BA335" s="168">
        <f>(AS335*365)*(AT335*0.67*0.65*1)</f>
        <v>59.926977500000007</v>
      </c>
      <c r="BB335" s="168">
        <f>(AS335*365)*(AT335*0.67*0.79*1)</f>
        <v>72.834326500000003</v>
      </c>
      <c r="BC335" s="168">
        <f>(AS335*365)*(AT335*0.67*0.03*1)</f>
        <v>2.7658605000000005</v>
      </c>
      <c r="BD335" s="170"/>
      <c r="BE335" s="168">
        <f>(AS335*365)*(AT335*0.67*0.65*1)</f>
        <v>59.926977500000007</v>
      </c>
      <c r="BF335" s="168">
        <f t="shared" si="598"/>
        <v>92.195350000000005</v>
      </c>
      <c r="BG335" s="169">
        <f t="shared" si="599"/>
        <v>205.66655000000003</v>
      </c>
      <c r="BH335" s="168">
        <f t="shared" si="599"/>
        <v>9.2195350000000005</v>
      </c>
      <c r="BI335" s="168">
        <f t="shared" si="600"/>
        <v>0.46097675000000005</v>
      </c>
      <c r="BJ335" s="168">
        <f>(AS335*365)*(AT335*0.67*0.01*1)</f>
        <v>0.92195350000000009</v>
      </c>
      <c r="BK335" s="168">
        <v>0</v>
      </c>
      <c r="BL335" s="168">
        <v>0</v>
      </c>
      <c r="BM335" s="168">
        <f>(BA335*365)*(BB335*0.67*0.65*1)</f>
        <v>693808.32472308248</v>
      </c>
      <c r="BN335" s="168">
        <f t="shared" si="601"/>
        <v>1067397.422650896</v>
      </c>
      <c r="BO335" s="169">
        <f t="shared" si="602"/>
        <v>1959147.1681567079</v>
      </c>
      <c r="BP335" s="168">
        <f t="shared" si="602"/>
        <v>106739.74226508962</v>
      </c>
      <c r="BQ335" s="168">
        <f>(BA335*365)*(BB335*0.67*0.01*1)</f>
        <v>10673.974226508961</v>
      </c>
      <c r="BR335" s="168">
        <v>0</v>
      </c>
      <c r="BS335" s="168">
        <v>0</v>
      </c>
      <c r="BT335" s="167">
        <f t="shared" si="603"/>
        <v>115.47910834375</v>
      </c>
      <c r="BU335" s="168"/>
      <c r="BV335" s="169"/>
      <c r="BW335" s="168"/>
      <c r="BX335" s="168"/>
      <c r="BY335" s="168"/>
      <c r="BZ335" s="168"/>
      <c r="CA335" s="167"/>
      <c r="CC335" s="117"/>
      <c r="CD335" s="118" t="str">
        <f t="shared" si="604"/>
        <v>Ganado Lechero - Clima Templado</v>
      </c>
      <c r="CE335" s="99" t="s">
        <v>628</v>
      </c>
      <c r="CF335" s="172">
        <f t="shared" ref="CF335:CF366" si="606">BT335</f>
        <v>115.47910834375</v>
      </c>
      <c r="CG335" s="99" t="s">
        <v>577</v>
      </c>
      <c r="CH335" s="105">
        <v>0.2</v>
      </c>
      <c r="CI335" s="105">
        <v>0.5</v>
      </c>
      <c r="CJ335" s="104" t="s">
        <v>385</v>
      </c>
      <c r="CK335" s="172">
        <f t="shared" si="605"/>
        <v>1.9822628571428575</v>
      </c>
      <c r="CL335" s="99" t="s">
        <v>629</v>
      </c>
      <c r="CM335" s="105">
        <v>0.2</v>
      </c>
      <c r="CN335" s="105">
        <v>0.5</v>
      </c>
      <c r="CO335" s="104" t="s">
        <v>385</v>
      </c>
      <c r="CP335" s="46"/>
      <c r="CQ335" s="103">
        <v>25</v>
      </c>
      <c r="CR335" s="99" t="s">
        <v>574</v>
      </c>
      <c r="CS335" s="46"/>
      <c r="CT335" s="103">
        <v>370.88228571428601</v>
      </c>
      <c r="CU335" s="99" t="s">
        <v>574</v>
      </c>
      <c r="CV335" s="46"/>
      <c r="CW335" s="48"/>
      <c r="CX335" s="46"/>
      <c r="CY335" s="46"/>
      <c r="CZ335" s="48"/>
      <c r="DA335" s="48"/>
      <c r="DB335" s="48"/>
      <c r="DC335" s="48"/>
      <c r="DD335" s="46"/>
      <c r="DE335" s="46"/>
      <c r="DF335" s="48"/>
      <c r="DG335" s="48"/>
      <c r="DH335" s="48"/>
      <c r="DI335" s="49"/>
      <c r="DJ335" s="50">
        <v>0.2</v>
      </c>
      <c r="DK335" s="50">
        <v>0.1</v>
      </c>
      <c r="DS335" s="37" t="s">
        <v>633</v>
      </c>
      <c r="DT335" s="37">
        <v>1</v>
      </c>
      <c r="DU335" s="78">
        <f t="shared" ref="DU335:DU366" si="607">+DT335*21</f>
        <v>21</v>
      </c>
      <c r="DV335" s="78">
        <f t="shared" ref="DV335:DV366" si="608">+DT335*25</f>
        <v>25</v>
      </c>
      <c r="DW335" s="37">
        <v>40</v>
      </c>
      <c r="DX335" s="37">
        <v>0.99</v>
      </c>
      <c r="DY335" s="78">
        <f t="shared" ref="DY335:DY366" si="609">+DW335*DX335</f>
        <v>39.6</v>
      </c>
      <c r="DZ335" s="37">
        <v>0.02</v>
      </c>
      <c r="EA335" s="176">
        <f t="shared" ref="EA335:EA366" si="610">+DY335*DZ335*44/28</f>
        <v>1.2445714285714284</v>
      </c>
      <c r="EB335" s="176">
        <f t="shared" ref="EB335:EB366" si="611">+EA335*310</f>
        <v>385.81714285714281</v>
      </c>
      <c r="EC335" s="176">
        <f t="shared" ref="EC335:EC366" si="612">+EA335*298</f>
        <v>370.88228571428567</v>
      </c>
      <c r="ED335" s="177">
        <f t="shared" ref="ED335:EE366" si="613">+DU335+EB335</f>
        <v>406.81714285714281</v>
      </c>
      <c r="EE335" s="177">
        <f t="shared" si="613"/>
        <v>395.88228571428567</v>
      </c>
      <c r="EF335" s="49" t="s">
        <v>628</v>
      </c>
      <c r="EG335" s="37" t="s">
        <v>631</v>
      </c>
    </row>
    <row r="336" spans="1:137" s="37" customFormat="1" ht="28.15" hidden="1" thickBot="1">
      <c r="Q336" s="127" t="s">
        <v>634</v>
      </c>
      <c r="S336" s="150">
        <v>0.48</v>
      </c>
      <c r="T336" s="150">
        <v>400</v>
      </c>
      <c r="U336" s="153">
        <f t="shared" si="595"/>
        <v>0</v>
      </c>
      <c r="V336" s="153">
        <f t="shared" si="595"/>
        <v>0</v>
      </c>
      <c r="W336" s="153">
        <f t="shared" si="595"/>
        <v>0.55062857142857136</v>
      </c>
      <c r="X336" s="152">
        <f t="shared" si="595"/>
        <v>2.2025142857142854</v>
      </c>
      <c r="Y336" s="153">
        <f t="shared" si="595"/>
        <v>0.55062857142857136</v>
      </c>
      <c r="Z336" s="153">
        <f t="shared" si="595"/>
        <v>0</v>
      </c>
      <c r="AA336" s="153">
        <f t="shared" si="595"/>
        <v>1.1012571428571427</v>
      </c>
      <c r="AB336" s="156">
        <f t="shared" si="595"/>
        <v>7.708800000000001</v>
      </c>
      <c r="AC336" s="153">
        <f t="shared" si="595"/>
        <v>7.708800000000001</v>
      </c>
      <c r="AD336" s="153">
        <f t="shared" si="595"/>
        <v>0</v>
      </c>
      <c r="AE336" s="153">
        <f t="shared" si="595"/>
        <v>0</v>
      </c>
      <c r="AF336" s="153">
        <f t="shared" si="595"/>
        <v>0.66075428571428574</v>
      </c>
      <c r="AG336" s="153">
        <f t="shared" si="595"/>
        <v>0</v>
      </c>
      <c r="AH336" s="153">
        <f t="shared" si="595"/>
        <v>11.012571428571428</v>
      </c>
      <c r="AI336" s="153">
        <v>0</v>
      </c>
      <c r="AJ336" s="160">
        <f t="shared" si="595"/>
        <v>1.1012571428571427</v>
      </c>
      <c r="AK336" s="153">
        <f t="shared" si="596"/>
        <v>1.1012571428571427</v>
      </c>
      <c r="AL336" s="163">
        <f t="shared" si="597"/>
        <v>1.9822628571428575</v>
      </c>
      <c r="AM336" s="36">
        <v>1</v>
      </c>
      <c r="AN336" s="36">
        <v>112</v>
      </c>
      <c r="AP336" s="36">
        <v>92</v>
      </c>
      <c r="AQ336" s="165">
        <v>0.3</v>
      </c>
      <c r="AR336" s="164">
        <v>2.9</v>
      </c>
      <c r="AS336" s="166">
        <v>2.9</v>
      </c>
      <c r="AT336" s="166">
        <v>0.13</v>
      </c>
      <c r="AU336" s="168">
        <f>(AS336*365)*(AT336*0.67*0.02*1)</f>
        <v>1.8439070000000002</v>
      </c>
      <c r="AV336" s="168">
        <f>(AS336*365)*(AT336*0.67*0.01*1)</f>
        <v>0.92195350000000009</v>
      </c>
      <c r="AW336" s="170"/>
      <c r="AX336" s="168">
        <f>(AS336*365)*(AT336*0.67*0.05*1)</f>
        <v>4.6097675000000002</v>
      </c>
      <c r="AY336" s="168">
        <f>(AS336*365)*(AT336*0.67*0.02*1)</f>
        <v>1.8439070000000002</v>
      </c>
      <c r="AZ336" s="169">
        <f>(AR336*365)*(AS336*0.67*0.8*1)</f>
        <v>1645.3324000000002</v>
      </c>
      <c r="BA336" s="168">
        <f>(AS336*365)*(AT336*0.67*0.8*1)</f>
        <v>73.756280000000004</v>
      </c>
      <c r="BB336" s="168">
        <f>(AS336*365)*(AT336*0.67*0.8*1)</f>
        <v>73.756280000000004</v>
      </c>
      <c r="BC336" s="168">
        <f>(AS336*365)*(AT336*0.67*0.3*1)</f>
        <v>27.658605000000005</v>
      </c>
      <c r="BD336" s="170"/>
      <c r="BE336" s="168">
        <f>(AS336*365)*(AT336*0.67*0.8*1)</f>
        <v>73.756280000000004</v>
      </c>
      <c r="BF336" s="168">
        <f t="shared" si="598"/>
        <v>92.195350000000005</v>
      </c>
      <c r="BG336" s="169">
        <f t="shared" si="599"/>
        <v>205.66655000000003</v>
      </c>
      <c r="BH336" s="168">
        <f t="shared" si="599"/>
        <v>9.2195350000000005</v>
      </c>
      <c r="BI336" s="168">
        <f t="shared" si="600"/>
        <v>0.46097675000000005</v>
      </c>
      <c r="BJ336" s="168">
        <f>(AS336*365)*(AT336*0.67*0.015*1)</f>
        <v>1.3829302500000002</v>
      </c>
      <c r="BK336" s="168">
        <v>0</v>
      </c>
      <c r="BL336" s="168">
        <v>0</v>
      </c>
      <c r="BM336" s="168">
        <f>(BA336*365)*(BB336*0.67*0.8*1)</f>
        <v>1064279.4165477287</v>
      </c>
      <c r="BN336" s="168">
        <f t="shared" si="601"/>
        <v>1330349.2706846609</v>
      </c>
      <c r="BO336" s="169">
        <f t="shared" si="602"/>
        <v>2967702.2192196287</v>
      </c>
      <c r="BP336" s="168">
        <f t="shared" si="602"/>
        <v>133034.92706846609</v>
      </c>
      <c r="BQ336" s="168">
        <f>(BA336*365)*(BB336*0.67*0.015*1)</f>
        <v>19955.239060269912</v>
      </c>
      <c r="BR336" s="168">
        <v>0</v>
      </c>
      <c r="BS336" s="168">
        <v>0</v>
      </c>
      <c r="BT336" s="167">
        <f t="shared" si="603"/>
        <v>138.27529512500004</v>
      </c>
      <c r="BU336" s="168"/>
      <c r="BV336" s="169"/>
      <c r="BW336" s="168"/>
      <c r="BX336" s="168"/>
      <c r="BY336" s="168"/>
      <c r="BZ336" s="168"/>
      <c r="CA336" s="167"/>
      <c r="CC336" s="117"/>
      <c r="CD336" s="118" t="str">
        <f t="shared" si="604"/>
        <v>Ganado Lechero - Clima Cálido</v>
      </c>
      <c r="CE336" s="99" t="s">
        <v>628</v>
      </c>
      <c r="CF336" s="172">
        <f t="shared" si="606"/>
        <v>138.27529512500004</v>
      </c>
      <c r="CG336" s="99" t="s">
        <v>577</v>
      </c>
      <c r="CH336" s="105">
        <v>0.2</v>
      </c>
      <c r="CI336" s="105">
        <v>0.5</v>
      </c>
      <c r="CJ336" s="104" t="s">
        <v>385</v>
      </c>
      <c r="CK336" s="172">
        <f t="shared" si="605"/>
        <v>1.9822628571428575</v>
      </c>
      <c r="CL336" s="99" t="s">
        <v>629</v>
      </c>
      <c r="CM336" s="105">
        <v>0.2</v>
      </c>
      <c r="CN336" s="105">
        <v>0.5</v>
      </c>
      <c r="CO336" s="104" t="s">
        <v>385</v>
      </c>
      <c r="CP336" s="46"/>
      <c r="CQ336" s="103">
        <v>25</v>
      </c>
      <c r="CR336" s="99" t="s">
        <v>574</v>
      </c>
      <c r="CS336" s="46"/>
      <c r="CT336" s="103">
        <v>370.88228571428601</v>
      </c>
      <c r="CU336" s="99" t="s">
        <v>574</v>
      </c>
      <c r="CV336" s="46"/>
      <c r="CW336" s="48"/>
      <c r="CX336" s="46"/>
      <c r="CY336" s="46"/>
      <c r="CZ336" s="48"/>
      <c r="DA336" s="48"/>
      <c r="DB336" s="48"/>
      <c r="DC336" s="48"/>
      <c r="DD336" s="46"/>
      <c r="DE336" s="46"/>
      <c r="DF336" s="48"/>
      <c r="DG336" s="48"/>
      <c r="DH336" s="48"/>
      <c r="DI336" s="49"/>
      <c r="DJ336" s="50">
        <v>0.2</v>
      </c>
      <c r="DK336" s="50">
        <v>0.1</v>
      </c>
      <c r="DS336" s="37" t="s">
        <v>635</v>
      </c>
      <c r="DT336" s="37">
        <v>1</v>
      </c>
      <c r="DU336" s="78">
        <f t="shared" si="607"/>
        <v>21</v>
      </c>
      <c r="DV336" s="78">
        <f t="shared" si="608"/>
        <v>25</v>
      </c>
      <c r="DW336" s="37">
        <v>40</v>
      </c>
      <c r="DX336" s="37">
        <v>0.99</v>
      </c>
      <c r="DY336" s="78">
        <f t="shared" si="609"/>
        <v>39.6</v>
      </c>
      <c r="DZ336" s="37">
        <v>0.02</v>
      </c>
      <c r="EA336" s="176">
        <f t="shared" si="610"/>
        <v>1.2445714285714284</v>
      </c>
      <c r="EB336" s="176">
        <f t="shared" si="611"/>
        <v>385.81714285714281</v>
      </c>
      <c r="EC336" s="176">
        <f t="shared" si="612"/>
        <v>370.88228571428567</v>
      </c>
      <c r="ED336" s="177">
        <f t="shared" si="613"/>
        <v>406.81714285714281</v>
      </c>
      <c r="EE336" s="177">
        <f t="shared" si="613"/>
        <v>395.88228571428567</v>
      </c>
      <c r="EF336" s="49" t="s">
        <v>628</v>
      </c>
      <c r="EG336" s="37" t="s">
        <v>631</v>
      </c>
    </row>
    <row r="337" spans="17:137" s="37" customFormat="1" ht="28.15" hidden="1" thickBot="1">
      <c r="Q337" s="127" t="s">
        <v>630</v>
      </c>
      <c r="S337" s="150">
        <v>0.36</v>
      </c>
      <c r="T337" s="150">
        <v>305</v>
      </c>
      <c r="U337" s="153">
        <f t="shared" si="595"/>
        <v>0</v>
      </c>
      <c r="V337" s="153">
        <f t="shared" si="595"/>
        <v>0</v>
      </c>
      <c r="W337" s="153">
        <f t="shared" si="595"/>
        <v>0.3148907142857143</v>
      </c>
      <c r="X337" s="152">
        <f t="shared" si="595"/>
        <v>1.2595628571428572</v>
      </c>
      <c r="Y337" s="153">
        <f t="shared" si="595"/>
        <v>0.3148907142857143</v>
      </c>
      <c r="Z337" s="153">
        <f t="shared" si="595"/>
        <v>0</v>
      </c>
      <c r="AA337" s="153">
        <f t="shared" si="595"/>
        <v>0.6297814285714286</v>
      </c>
      <c r="AB337" s="156">
        <f t="shared" si="595"/>
        <v>4.4084700000000003</v>
      </c>
      <c r="AC337" s="153">
        <f t="shared" si="595"/>
        <v>4.4084700000000003</v>
      </c>
      <c r="AD337" s="153">
        <f t="shared" si="595"/>
        <v>0</v>
      </c>
      <c r="AE337" s="153">
        <f t="shared" si="595"/>
        <v>0</v>
      </c>
      <c r="AF337" s="153">
        <f t="shared" si="595"/>
        <v>0.37786885714285712</v>
      </c>
      <c r="AG337" s="153">
        <f t="shared" si="595"/>
        <v>0</v>
      </c>
      <c r="AH337" s="153">
        <f t="shared" si="595"/>
        <v>6.2978142857142849</v>
      </c>
      <c r="AI337" s="153">
        <v>0</v>
      </c>
      <c r="AJ337" s="160">
        <f t="shared" si="595"/>
        <v>0.6297814285714286</v>
      </c>
      <c r="AK337" s="153">
        <f t="shared" si="596"/>
        <v>0.6297814285714286</v>
      </c>
      <c r="AL337" s="163">
        <f t="shared" si="597"/>
        <v>1.1336065714285717</v>
      </c>
      <c r="AM337" s="36">
        <v>1</v>
      </c>
      <c r="AN337" s="38">
        <v>0</v>
      </c>
      <c r="AP337" s="36">
        <v>8</v>
      </c>
      <c r="AQ337" s="165">
        <v>0.3</v>
      </c>
      <c r="AR337" s="164">
        <v>2.5</v>
      </c>
      <c r="AS337" s="166">
        <v>2.5</v>
      </c>
      <c r="AT337" s="166">
        <v>0.1</v>
      </c>
      <c r="AU337" s="168">
        <f>(AS337*365)*(AT337*0.67*0.01*1)</f>
        <v>0.611375</v>
      </c>
      <c r="AV337" s="168">
        <f>(AS337*365)*(AT337*0.67*0.001*1)</f>
        <v>6.1137500000000004E-2</v>
      </c>
      <c r="AW337" s="170"/>
      <c r="AX337" s="168">
        <f>(AS337*365)*(AT337*0.67*0.02*1)</f>
        <v>1.22275</v>
      </c>
      <c r="AY337" s="168">
        <f>(AS337*365)*(AT337*0.67*0.01*1)</f>
        <v>0.611375</v>
      </c>
      <c r="AZ337" s="169">
        <f>(AR337*365)*(AS337*0.67*0.25*1)</f>
        <v>382.109375</v>
      </c>
      <c r="BA337" s="168">
        <f>(AS337*365)*(AT337*0.67*0.25*1)</f>
        <v>15.284375000000001</v>
      </c>
      <c r="BB337" s="168">
        <f>(AS337*365)*(AT337*0.67*0.73*1)</f>
        <v>44.630375000000001</v>
      </c>
      <c r="BC337" s="168">
        <f>(AS337*365)*(AT337*0.67*0.03*1)</f>
        <v>1.834125</v>
      </c>
      <c r="BD337" s="170"/>
      <c r="BE337" s="168">
        <f>(AS337*365)*(AT337*0.67*0.25*1)</f>
        <v>15.284375000000001</v>
      </c>
      <c r="BF337" s="168">
        <f t="shared" si="598"/>
        <v>61.137500000000003</v>
      </c>
      <c r="BG337" s="169">
        <f t="shared" si="599"/>
        <v>152.84375</v>
      </c>
      <c r="BH337" s="168">
        <f t="shared" si="599"/>
        <v>6.1137500000000014</v>
      </c>
      <c r="BI337" s="168">
        <f t="shared" si="600"/>
        <v>0.3056875</v>
      </c>
      <c r="BJ337" s="168">
        <f>(AS337*365)*(AT337*0.67*0.005*1)</f>
        <v>0.3056875</v>
      </c>
      <c r="BK337" s="168">
        <v>0</v>
      </c>
      <c r="BL337" s="168">
        <v>0</v>
      </c>
      <c r="BM337" s="168">
        <f>(BA337*365)*(BB337*0.67*0.25*1)</f>
        <v>41704.785927163088</v>
      </c>
      <c r="BN337" s="168">
        <f t="shared" si="601"/>
        <v>166819.14370865235</v>
      </c>
      <c r="BO337" s="169">
        <f t="shared" si="602"/>
        <v>142824.60933959964</v>
      </c>
      <c r="BP337" s="168">
        <f t="shared" si="602"/>
        <v>16681.914370865237</v>
      </c>
      <c r="BQ337" s="168">
        <f>(BA337*365)*(BB337*0.67*0.005*1)</f>
        <v>834.0957185432618</v>
      </c>
      <c r="BR337" s="168">
        <v>0</v>
      </c>
      <c r="BS337" s="168">
        <v>0</v>
      </c>
      <c r="BT337" s="167">
        <f t="shared" si="603"/>
        <v>42.647227343749996</v>
      </c>
      <c r="BU337" s="168"/>
      <c r="BV337" s="169"/>
      <c r="BW337" s="168"/>
      <c r="BX337" s="168"/>
      <c r="BY337" s="168"/>
      <c r="BZ337" s="168"/>
      <c r="CA337" s="167"/>
      <c r="CC337" s="117"/>
      <c r="CD337" s="118" t="str">
        <f t="shared" si="604"/>
        <v>Ganado No Lechero - Clima Frío</v>
      </c>
      <c r="CE337" s="99" t="s">
        <v>628</v>
      </c>
      <c r="CF337" s="172">
        <f t="shared" si="606"/>
        <v>42.647227343749996</v>
      </c>
      <c r="CG337" s="99" t="s">
        <v>577</v>
      </c>
      <c r="CH337" s="105">
        <v>0.2</v>
      </c>
      <c r="CI337" s="105">
        <v>0.5</v>
      </c>
      <c r="CJ337" s="104" t="s">
        <v>385</v>
      </c>
      <c r="CK337" s="172">
        <f t="shared" si="605"/>
        <v>1.1336065714285717</v>
      </c>
      <c r="CL337" s="99" t="s">
        <v>629</v>
      </c>
      <c r="CM337" s="105">
        <v>0.2</v>
      </c>
      <c r="CN337" s="105">
        <v>0.5</v>
      </c>
      <c r="CO337" s="104" t="s">
        <v>385</v>
      </c>
      <c r="CP337" s="46"/>
      <c r="CQ337" s="103">
        <v>0</v>
      </c>
      <c r="CR337" s="99" t="s">
        <v>574</v>
      </c>
      <c r="CS337" s="46"/>
      <c r="CT337" s="103">
        <v>236.01599999999999</v>
      </c>
      <c r="CU337" s="99" t="s">
        <v>574</v>
      </c>
      <c r="CV337" s="46"/>
      <c r="CW337" s="48"/>
      <c r="CX337" s="46"/>
      <c r="CY337" s="46"/>
      <c r="CZ337" s="48"/>
      <c r="DA337" s="48"/>
      <c r="DB337" s="48"/>
      <c r="DC337" s="48"/>
      <c r="DD337" s="46"/>
      <c r="DE337" s="46"/>
      <c r="DF337" s="48"/>
      <c r="DG337" s="48"/>
      <c r="DH337" s="48"/>
      <c r="DI337" s="49"/>
      <c r="DJ337" s="50">
        <v>0.2</v>
      </c>
      <c r="DK337" s="50">
        <v>0.1</v>
      </c>
      <c r="DS337" s="37" t="s">
        <v>627</v>
      </c>
      <c r="DT337" s="37">
        <v>0</v>
      </c>
      <c r="DU337" s="78">
        <f t="shared" si="607"/>
        <v>0</v>
      </c>
      <c r="DV337" s="78">
        <f t="shared" si="608"/>
        <v>0</v>
      </c>
      <c r="DW337" s="37">
        <v>70</v>
      </c>
      <c r="DX337" s="37">
        <v>0.36</v>
      </c>
      <c r="DY337" s="78">
        <f t="shared" si="609"/>
        <v>25.2</v>
      </c>
      <c r="DZ337" s="37">
        <v>0.02</v>
      </c>
      <c r="EA337" s="176">
        <f t="shared" si="610"/>
        <v>0.79200000000000004</v>
      </c>
      <c r="EB337" s="176">
        <f t="shared" si="611"/>
        <v>245.52</v>
      </c>
      <c r="EC337" s="176">
        <f t="shared" si="612"/>
        <v>236.01600000000002</v>
      </c>
      <c r="ED337" s="177">
        <f t="shared" si="613"/>
        <v>245.52</v>
      </c>
      <c r="EE337" s="177">
        <f t="shared" si="613"/>
        <v>236.01600000000002</v>
      </c>
      <c r="EF337" s="49" t="s">
        <v>628</v>
      </c>
      <c r="EG337" s="37" t="s">
        <v>631</v>
      </c>
    </row>
    <row r="338" spans="17:137" s="37" customFormat="1" ht="28.15" hidden="1" thickBot="1">
      <c r="Q338" s="127" t="s">
        <v>633</v>
      </c>
      <c r="S338" s="150">
        <v>0.36</v>
      </c>
      <c r="T338" s="150">
        <v>305</v>
      </c>
      <c r="U338" s="153">
        <f t="shared" si="595"/>
        <v>0</v>
      </c>
      <c r="V338" s="153">
        <f t="shared" si="595"/>
        <v>0</v>
      </c>
      <c r="W338" s="153">
        <f t="shared" si="595"/>
        <v>0.3148907142857143</v>
      </c>
      <c r="X338" s="152">
        <f t="shared" si="595"/>
        <v>1.2595628571428572</v>
      </c>
      <c r="Y338" s="153">
        <f t="shared" si="595"/>
        <v>0.3148907142857143</v>
      </c>
      <c r="Z338" s="153">
        <f t="shared" si="595"/>
        <v>0</v>
      </c>
      <c r="AA338" s="153">
        <f t="shared" si="595"/>
        <v>0.6297814285714286</v>
      </c>
      <c r="AB338" s="156">
        <f t="shared" si="595"/>
        <v>4.4084700000000003</v>
      </c>
      <c r="AC338" s="153">
        <f t="shared" si="595"/>
        <v>4.4084700000000003</v>
      </c>
      <c r="AD338" s="153">
        <f t="shared" si="595"/>
        <v>0</v>
      </c>
      <c r="AE338" s="153">
        <f t="shared" si="595"/>
        <v>0</v>
      </c>
      <c r="AF338" s="153">
        <f t="shared" si="595"/>
        <v>0.37786885714285712</v>
      </c>
      <c r="AG338" s="153">
        <f t="shared" si="595"/>
        <v>0</v>
      </c>
      <c r="AH338" s="153">
        <f t="shared" si="595"/>
        <v>6.2978142857142849</v>
      </c>
      <c r="AI338" s="153">
        <v>0</v>
      </c>
      <c r="AJ338" s="160">
        <f t="shared" si="595"/>
        <v>0.6297814285714286</v>
      </c>
      <c r="AK338" s="153">
        <f t="shared" si="596"/>
        <v>0.6297814285714286</v>
      </c>
      <c r="AL338" s="163">
        <f t="shared" si="597"/>
        <v>1.1336065714285717</v>
      </c>
      <c r="AM338" s="36">
        <v>1</v>
      </c>
      <c r="AN338" s="38">
        <v>0</v>
      </c>
      <c r="AP338" s="36">
        <v>21</v>
      </c>
      <c r="AQ338" s="165">
        <v>0.3</v>
      </c>
      <c r="AR338" s="164">
        <v>2.5</v>
      </c>
      <c r="AS338" s="166">
        <v>2.5</v>
      </c>
      <c r="AT338" s="166">
        <v>0.1</v>
      </c>
      <c r="AU338" s="168">
        <f>(AS338*365)*(AT338*0.67*0.015*1)</f>
        <v>0.9170625</v>
      </c>
      <c r="AV338" s="168">
        <f>(AS338*365)*(AT338*0.67*0.005*1)</f>
        <v>0.3056875</v>
      </c>
      <c r="AW338" s="170"/>
      <c r="AX338" s="168">
        <f>(AS338*365)*(AT338*0.67*0.04*1)</f>
        <v>2.4455</v>
      </c>
      <c r="AY338" s="168">
        <f>(AS338*365)*(AT338*0.67*0.015*1)</f>
        <v>0.9170625</v>
      </c>
      <c r="AZ338" s="169">
        <f>(AR338*365)*(AS338*0.67*0.65*1)</f>
        <v>993.48437500000011</v>
      </c>
      <c r="BA338" s="168">
        <f>(AS338*365)*(AT338*0.67*0.65*1)</f>
        <v>39.739375000000003</v>
      </c>
      <c r="BB338" s="168">
        <f>(AS338*365)*(AT338*0.67*0.79*1)</f>
        <v>48.298625000000001</v>
      </c>
      <c r="BC338" s="168">
        <f>(AS338*365)*(AT338*0.67*0.03*1)</f>
        <v>1.834125</v>
      </c>
      <c r="BD338" s="170"/>
      <c r="BE338" s="168">
        <f>(AS338*365)*(AT338*0.67*0.65*1)</f>
        <v>39.739375000000003</v>
      </c>
      <c r="BF338" s="168">
        <f t="shared" si="598"/>
        <v>61.137500000000003</v>
      </c>
      <c r="BG338" s="169">
        <f t="shared" si="599"/>
        <v>152.84375</v>
      </c>
      <c r="BH338" s="168">
        <f t="shared" si="599"/>
        <v>6.1137500000000014</v>
      </c>
      <c r="BI338" s="168">
        <f t="shared" si="600"/>
        <v>0.3056875</v>
      </c>
      <c r="BJ338" s="168">
        <f>(AS338*365)*(AT338*0.67*0.01*1)</f>
        <v>0.611375</v>
      </c>
      <c r="BK338" s="168">
        <v>0</v>
      </c>
      <c r="BL338" s="168">
        <v>0</v>
      </c>
      <c r="BM338" s="168">
        <f>(BA338*365)*(BB338*0.67*0.65*1)</f>
        <v>305096.21748687915</v>
      </c>
      <c r="BN338" s="168">
        <f t="shared" si="601"/>
        <v>469378.79613366019</v>
      </c>
      <c r="BO338" s="169">
        <f t="shared" si="602"/>
        <v>965494.35913569375</v>
      </c>
      <c r="BP338" s="168">
        <f t="shared" si="602"/>
        <v>46937.879613366022</v>
      </c>
      <c r="BQ338" s="168">
        <f>(BA338*365)*(BB338*0.67*0.01*1)</f>
        <v>4693.7879613366013</v>
      </c>
      <c r="BR338" s="168">
        <v>0</v>
      </c>
      <c r="BS338" s="168">
        <v>0</v>
      </c>
      <c r="BT338" s="167">
        <f t="shared" si="603"/>
        <v>84.293328125000016</v>
      </c>
      <c r="BU338" s="168"/>
      <c r="BV338" s="169"/>
      <c r="BW338" s="168"/>
      <c r="BX338" s="168"/>
      <c r="BY338" s="168"/>
      <c r="BZ338" s="168"/>
      <c r="CA338" s="167"/>
      <c r="CC338" s="117"/>
      <c r="CD338" s="118" t="str">
        <f t="shared" si="604"/>
        <v>Ganado No Lechero - Clima Templado</v>
      </c>
      <c r="CE338" s="99" t="s">
        <v>628</v>
      </c>
      <c r="CF338" s="172">
        <f t="shared" si="606"/>
        <v>84.293328125000016</v>
      </c>
      <c r="CG338" s="99" t="s">
        <v>577</v>
      </c>
      <c r="CH338" s="105">
        <v>0.2</v>
      </c>
      <c r="CI338" s="105">
        <v>0.5</v>
      </c>
      <c r="CJ338" s="104" t="s">
        <v>385</v>
      </c>
      <c r="CK338" s="172">
        <f t="shared" si="605"/>
        <v>1.1336065714285717</v>
      </c>
      <c r="CL338" s="99" t="s">
        <v>629</v>
      </c>
      <c r="CM338" s="105">
        <v>0.2</v>
      </c>
      <c r="CN338" s="105">
        <v>0.5</v>
      </c>
      <c r="CO338" s="104" t="s">
        <v>385</v>
      </c>
      <c r="CP338" s="46"/>
      <c r="CQ338" s="103">
        <v>25</v>
      </c>
      <c r="CR338" s="99" t="s">
        <v>574</v>
      </c>
      <c r="CS338" s="46"/>
      <c r="CT338" s="103">
        <v>236.01599999999999</v>
      </c>
      <c r="CU338" s="99" t="s">
        <v>574</v>
      </c>
      <c r="CV338" s="46"/>
      <c r="CW338" s="48"/>
      <c r="CX338" s="46"/>
      <c r="CY338" s="46"/>
      <c r="CZ338" s="48"/>
      <c r="DA338" s="48"/>
      <c r="DB338" s="48"/>
      <c r="DC338" s="48"/>
      <c r="DD338" s="46"/>
      <c r="DE338" s="46"/>
      <c r="DF338" s="48"/>
      <c r="DG338" s="48"/>
      <c r="DH338" s="48"/>
      <c r="DI338" s="49"/>
      <c r="DJ338" s="50">
        <v>0.2</v>
      </c>
      <c r="DK338" s="50">
        <v>0.1</v>
      </c>
      <c r="DS338" s="37" t="s">
        <v>632</v>
      </c>
      <c r="DT338" s="37">
        <v>1</v>
      </c>
      <c r="DU338" s="78">
        <f t="shared" si="607"/>
        <v>21</v>
      </c>
      <c r="DV338" s="78">
        <f t="shared" si="608"/>
        <v>25</v>
      </c>
      <c r="DW338" s="37">
        <v>70</v>
      </c>
      <c r="DX338" s="37">
        <v>0.36</v>
      </c>
      <c r="DY338" s="78">
        <f t="shared" si="609"/>
        <v>25.2</v>
      </c>
      <c r="DZ338" s="37">
        <v>0.02</v>
      </c>
      <c r="EA338" s="176">
        <f t="shared" si="610"/>
        <v>0.79200000000000004</v>
      </c>
      <c r="EB338" s="176">
        <f t="shared" si="611"/>
        <v>245.52</v>
      </c>
      <c r="EC338" s="176">
        <f t="shared" si="612"/>
        <v>236.01600000000002</v>
      </c>
      <c r="ED338" s="177">
        <f t="shared" si="613"/>
        <v>266.52</v>
      </c>
      <c r="EE338" s="177">
        <f t="shared" si="613"/>
        <v>261.01600000000002</v>
      </c>
      <c r="EF338" s="49" t="s">
        <v>628</v>
      </c>
      <c r="EG338" s="37" t="s">
        <v>631</v>
      </c>
    </row>
    <row r="339" spans="17:137" s="37" customFormat="1" ht="28.15" hidden="1" thickBot="1">
      <c r="Q339" s="127" t="s">
        <v>635</v>
      </c>
      <c r="S339" s="150">
        <v>0.36</v>
      </c>
      <c r="T339" s="150">
        <v>305</v>
      </c>
      <c r="U339" s="153">
        <f t="shared" si="595"/>
        <v>0</v>
      </c>
      <c r="V339" s="153">
        <f t="shared" si="595"/>
        <v>0</v>
      </c>
      <c r="W339" s="153">
        <f t="shared" si="595"/>
        <v>0.3148907142857143</v>
      </c>
      <c r="X339" s="152">
        <f t="shared" si="595"/>
        <v>1.2595628571428572</v>
      </c>
      <c r="Y339" s="153">
        <f t="shared" si="595"/>
        <v>0.3148907142857143</v>
      </c>
      <c r="Z339" s="153">
        <f t="shared" si="595"/>
        <v>0</v>
      </c>
      <c r="AA339" s="153">
        <f t="shared" si="595"/>
        <v>0.6297814285714286</v>
      </c>
      <c r="AB339" s="156">
        <f t="shared" si="595"/>
        <v>4.4084700000000003</v>
      </c>
      <c r="AC339" s="153">
        <f t="shared" si="595"/>
        <v>4.4084700000000003</v>
      </c>
      <c r="AD339" s="153">
        <f t="shared" si="595"/>
        <v>0</v>
      </c>
      <c r="AE339" s="153">
        <f t="shared" si="595"/>
        <v>0</v>
      </c>
      <c r="AF339" s="153">
        <f t="shared" si="595"/>
        <v>0.37786885714285712</v>
      </c>
      <c r="AG339" s="153">
        <f t="shared" si="595"/>
        <v>0</v>
      </c>
      <c r="AH339" s="153">
        <f t="shared" si="595"/>
        <v>6.2978142857142849</v>
      </c>
      <c r="AI339" s="153">
        <v>0</v>
      </c>
      <c r="AJ339" s="160">
        <f t="shared" si="595"/>
        <v>0.6297814285714286</v>
      </c>
      <c r="AK339" s="153">
        <f t="shared" si="596"/>
        <v>0.6297814285714286</v>
      </c>
      <c r="AL339" s="163">
        <f t="shared" si="597"/>
        <v>1.1336065714285717</v>
      </c>
      <c r="AM339" s="36">
        <v>2</v>
      </c>
      <c r="AN339" s="38">
        <v>0</v>
      </c>
      <c r="AP339" s="36">
        <v>26</v>
      </c>
      <c r="AQ339" s="165">
        <v>0.3</v>
      </c>
      <c r="AR339" s="164">
        <v>2.5</v>
      </c>
      <c r="AS339" s="166">
        <v>2.5</v>
      </c>
      <c r="AT339" s="166">
        <v>0.1</v>
      </c>
      <c r="AU339" s="168">
        <f>(AS339*365)*(AT339*0.67*0.02*1)</f>
        <v>1.22275</v>
      </c>
      <c r="AV339" s="168">
        <f>(AS339*365)*(AT339*0.67*0.01*1)</f>
        <v>0.611375</v>
      </c>
      <c r="AW339" s="170"/>
      <c r="AX339" s="168">
        <f>(AS339*365)*(AT339*0.67*0.05*1)</f>
        <v>3.0568750000000007</v>
      </c>
      <c r="AY339" s="168">
        <f>(AS339*365)*(AT339*0.67*0.02*1)</f>
        <v>1.22275</v>
      </c>
      <c r="AZ339" s="169">
        <f>(AR339*365)*(AS339*0.67*0.8*1)</f>
        <v>1222.75</v>
      </c>
      <c r="BA339" s="168">
        <f>(AS339*365)*(AT339*0.67*0.8*1)</f>
        <v>48.910000000000011</v>
      </c>
      <c r="BB339" s="168">
        <f>(AS339*365)*(AT339*0.67*0.8*1)</f>
        <v>48.910000000000011</v>
      </c>
      <c r="BC339" s="168">
        <f>(AS339*365)*(AT339*0.67*0.3*1)</f>
        <v>18.341249999999999</v>
      </c>
      <c r="BD339" s="170"/>
      <c r="BE339" s="168">
        <f>(AS339*365)*(AT339*0.67*0.8*1)</f>
        <v>48.910000000000011</v>
      </c>
      <c r="BF339" s="168">
        <f t="shared" si="598"/>
        <v>61.137500000000003</v>
      </c>
      <c r="BG339" s="169">
        <f t="shared" si="599"/>
        <v>152.84375</v>
      </c>
      <c r="BH339" s="168">
        <f t="shared" si="599"/>
        <v>6.1137500000000014</v>
      </c>
      <c r="BI339" s="168">
        <f t="shared" si="600"/>
        <v>0.3056875</v>
      </c>
      <c r="BJ339" s="168">
        <f>(AS339*365)*(AT339*0.67*0.015*1)</f>
        <v>0.9170625</v>
      </c>
      <c r="BK339" s="168">
        <v>0</v>
      </c>
      <c r="BL339" s="168">
        <v>0</v>
      </c>
      <c r="BM339" s="168">
        <f>(BA339*365)*(BB339*0.67*0.8*1)</f>
        <v>468007.67988400027</v>
      </c>
      <c r="BN339" s="168">
        <f t="shared" si="601"/>
        <v>585009.59985500027</v>
      </c>
      <c r="BO339" s="169">
        <f t="shared" si="602"/>
        <v>1462523.9996375004</v>
      </c>
      <c r="BP339" s="168">
        <f t="shared" si="602"/>
        <v>58500.959985500034</v>
      </c>
      <c r="BQ339" s="168">
        <f>(BA339*365)*(BB339*0.67*0.015*1)</f>
        <v>8775.1439978250037</v>
      </c>
      <c r="BR339" s="168">
        <v>0</v>
      </c>
      <c r="BS339" s="168">
        <v>0</v>
      </c>
      <c r="BT339" s="167">
        <f t="shared" si="603"/>
        <v>100.95329687500001</v>
      </c>
      <c r="BU339" s="168"/>
      <c r="BV339" s="169"/>
      <c r="BW339" s="168"/>
      <c r="BX339" s="168"/>
      <c r="BY339" s="168"/>
      <c r="BZ339" s="168"/>
      <c r="CA339" s="167"/>
      <c r="CC339" s="117"/>
      <c r="CD339" s="118" t="str">
        <f t="shared" si="604"/>
        <v>Ganado No Lechero - Clima Cálido</v>
      </c>
      <c r="CE339" s="99" t="s">
        <v>628</v>
      </c>
      <c r="CF339" s="172">
        <f t="shared" si="606"/>
        <v>100.95329687500001</v>
      </c>
      <c r="CG339" s="99" t="s">
        <v>577</v>
      </c>
      <c r="CH339" s="105">
        <v>0.2</v>
      </c>
      <c r="CI339" s="105">
        <v>0.5</v>
      </c>
      <c r="CJ339" s="104" t="s">
        <v>385</v>
      </c>
      <c r="CK339" s="172">
        <f t="shared" si="605"/>
        <v>1.1336065714285717</v>
      </c>
      <c r="CL339" s="99" t="s">
        <v>629</v>
      </c>
      <c r="CM339" s="105">
        <v>0.2</v>
      </c>
      <c r="CN339" s="105">
        <v>0.5</v>
      </c>
      <c r="CO339" s="104" t="s">
        <v>385</v>
      </c>
      <c r="CP339" s="46"/>
      <c r="CQ339" s="103">
        <v>50</v>
      </c>
      <c r="CR339" s="99" t="s">
        <v>574</v>
      </c>
      <c r="CS339" s="46"/>
      <c r="CT339" s="103">
        <v>236.01599999999999</v>
      </c>
      <c r="CU339" s="99" t="s">
        <v>574</v>
      </c>
      <c r="CV339" s="46"/>
      <c r="CW339" s="48"/>
      <c r="CX339" s="46"/>
      <c r="CY339" s="46"/>
      <c r="CZ339" s="48"/>
      <c r="DA339" s="48"/>
      <c r="DB339" s="48"/>
      <c r="DC339" s="48"/>
      <c r="DD339" s="46"/>
      <c r="DE339" s="46"/>
      <c r="DF339" s="48"/>
      <c r="DG339" s="48"/>
      <c r="DH339" s="48"/>
      <c r="DI339" s="49"/>
      <c r="DJ339" s="50">
        <v>0.2</v>
      </c>
      <c r="DK339" s="50">
        <v>0.1</v>
      </c>
      <c r="DS339" s="37" t="s">
        <v>634</v>
      </c>
      <c r="DT339" s="37">
        <v>2</v>
      </c>
      <c r="DU339" s="78">
        <f t="shared" si="607"/>
        <v>42</v>
      </c>
      <c r="DV339" s="78">
        <f t="shared" si="608"/>
        <v>50</v>
      </c>
      <c r="DW339" s="37">
        <v>70</v>
      </c>
      <c r="DX339" s="37">
        <v>0.36</v>
      </c>
      <c r="DY339" s="78">
        <f t="shared" si="609"/>
        <v>25.2</v>
      </c>
      <c r="DZ339" s="37">
        <v>0.02</v>
      </c>
      <c r="EA339" s="176">
        <f t="shared" si="610"/>
        <v>0.79200000000000004</v>
      </c>
      <c r="EB339" s="176">
        <f t="shared" si="611"/>
        <v>245.52</v>
      </c>
      <c r="EC339" s="176">
        <f t="shared" si="612"/>
        <v>236.01600000000002</v>
      </c>
      <c r="ED339" s="177">
        <f t="shared" si="613"/>
        <v>287.52</v>
      </c>
      <c r="EE339" s="177">
        <f t="shared" si="613"/>
        <v>286.01600000000002</v>
      </c>
      <c r="EF339" s="49" t="s">
        <v>628</v>
      </c>
      <c r="EG339" s="37" t="s">
        <v>631</v>
      </c>
    </row>
    <row r="340" spans="17:137" s="37" customFormat="1" ht="28.15" hidden="1" thickBot="1">
      <c r="Q340" s="127" t="s">
        <v>636</v>
      </c>
      <c r="S340" s="150">
        <v>0.82</v>
      </c>
      <c r="T340" s="150">
        <v>1.8</v>
      </c>
      <c r="U340" s="153">
        <f t="shared" si="595"/>
        <v>0</v>
      </c>
      <c r="V340" s="153">
        <f t="shared" si="595"/>
        <v>0</v>
      </c>
      <c r="W340" s="153">
        <f t="shared" si="595"/>
        <v>4.2329571428571426E-3</v>
      </c>
      <c r="X340" s="152">
        <f t="shared" si="595"/>
        <v>1.6931828571428571E-2</v>
      </c>
      <c r="Y340" s="153">
        <f t="shared" si="595"/>
        <v>4.2329571428571426E-3</v>
      </c>
      <c r="Z340" s="153">
        <f t="shared" si="595"/>
        <v>0</v>
      </c>
      <c r="AA340" s="153">
        <v>0</v>
      </c>
      <c r="AB340" s="156">
        <v>0</v>
      </c>
      <c r="AC340" s="153">
        <v>0</v>
      </c>
      <c r="AD340" s="153">
        <f t="shared" si="595"/>
        <v>0</v>
      </c>
      <c r="AE340" s="153">
        <f t="shared" si="595"/>
        <v>0</v>
      </c>
      <c r="AF340" s="153">
        <f t="shared" si="595"/>
        <v>5.0795485714285717E-3</v>
      </c>
      <c r="AG340" s="153">
        <f t="shared" si="595"/>
        <v>0</v>
      </c>
      <c r="AH340" s="153">
        <f t="shared" si="595"/>
        <v>8.4659142857142863E-2</v>
      </c>
      <c r="AI340" s="153">
        <f t="shared" si="595"/>
        <v>8.4659142857142853E-3</v>
      </c>
      <c r="AJ340" s="160">
        <f t="shared" si="595"/>
        <v>8.4659142857142853E-3</v>
      </c>
      <c r="AK340" s="153">
        <f t="shared" si="596"/>
        <v>8.4659142857142853E-3</v>
      </c>
      <c r="AL340" s="163">
        <f t="shared" si="597"/>
        <v>8.2667163025210086E-3</v>
      </c>
      <c r="AM340" s="36">
        <v>0.01</v>
      </c>
      <c r="AN340" s="36">
        <v>1.2</v>
      </c>
      <c r="AP340" s="38">
        <v>0</v>
      </c>
      <c r="AQ340" s="165">
        <v>0.3</v>
      </c>
      <c r="AR340" s="164">
        <v>0.1</v>
      </c>
      <c r="AS340" s="166">
        <v>0.1</v>
      </c>
      <c r="AT340" s="166">
        <v>0.24</v>
      </c>
      <c r="AU340" s="168">
        <f>(AS340*365)*(AT340*0.67*0.01*1)</f>
        <v>5.8692000000000001E-2</v>
      </c>
      <c r="AV340" s="168">
        <f>(AS340*365)*(AT340*0.67*0.001*1)</f>
        <v>5.8691999999999998E-3</v>
      </c>
      <c r="AW340" s="170"/>
      <c r="AX340" s="168">
        <f>(AS340*365)*(AT340*0.67*0.02*1)</f>
        <v>0.117384</v>
      </c>
      <c r="AY340" s="168">
        <f>(AS340*365)*(AT340*0.67*0.01*1)</f>
        <v>5.8692000000000001E-2</v>
      </c>
      <c r="AZ340" s="169">
        <f>(AR340*365)*(AS340*0.67*0.25*1)</f>
        <v>0.611375</v>
      </c>
      <c r="BA340" s="168">
        <f>(AS340*365)*(AT340*0.67*0.25*1)</f>
        <v>1.4673</v>
      </c>
      <c r="BB340" s="168">
        <f>(AS340*365)*(AT340*0.67*0.73*1)</f>
        <v>4.284516</v>
      </c>
      <c r="BC340" s="168">
        <v>0</v>
      </c>
      <c r="BD340" s="168" t="s">
        <v>637</v>
      </c>
      <c r="BE340" s="168">
        <v>0</v>
      </c>
      <c r="BF340" s="168">
        <f t="shared" si="598"/>
        <v>5.8692000000000002</v>
      </c>
      <c r="BG340" s="169">
        <f t="shared" si="599"/>
        <v>0.24455000000000005</v>
      </c>
      <c r="BH340" s="168">
        <f t="shared" si="599"/>
        <v>0.58692</v>
      </c>
      <c r="BI340" s="168">
        <f t="shared" si="600"/>
        <v>2.9346000000000001E-2</v>
      </c>
      <c r="BJ340" s="168">
        <f>(AS340*365)*(AT340*0.67*0.005*1)</f>
        <v>2.9346000000000001E-2</v>
      </c>
      <c r="BK340" s="168">
        <f>(AS340*365)*(AT340*0.67*0.0015*1)</f>
        <v>8.8038000000000005E-3</v>
      </c>
      <c r="BL340" s="168">
        <v>0</v>
      </c>
      <c r="BM340" s="168">
        <v>0</v>
      </c>
      <c r="BN340" s="168">
        <f t="shared" si="601"/>
        <v>1537.4052284189402</v>
      </c>
      <c r="BO340" s="169">
        <f t="shared" si="602"/>
        <v>21.937859994562501</v>
      </c>
      <c r="BP340" s="168">
        <f t="shared" si="602"/>
        <v>153.74052284189403</v>
      </c>
      <c r="BQ340" s="168">
        <f>(BA340*365)*(BB340*0.67*0.005*1)</f>
        <v>7.6870261420947017</v>
      </c>
      <c r="BR340" s="168">
        <f>(BA340*365)*(BB340*0.67*0.0015*1)</f>
        <v>2.3061078426284101</v>
      </c>
      <c r="BS340" s="168">
        <v>0</v>
      </c>
      <c r="BT340" s="167">
        <f t="shared" si="603"/>
        <v>0.83574962500000016</v>
      </c>
      <c r="BU340" s="168"/>
      <c r="BV340" s="169"/>
      <c r="BW340" s="168"/>
      <c r="BX340" s="168"/>
      <c r="BY340" s="168"/>
      <c r="BZ340" s="168"/>
      <c r="CA340" s="167"/>
      <c r="CC340" s="117"/>
      <c r="CD340" s="118" t="str">
        <f t="shared" si="604"/>
        <v>Aves de Corral - Clima Frío</v>
      </c>
      <c r="CE340" s="99" t="s">
        <v>628</v>
      </c>
      <c r="CF340" s="172">
        <f t="shared" si="606"/>
        <v>0.83574962500000016</v>
      </c>
      <c r="CG340" s="99" t="s">
        <v>577</v>
      </c>
      <c r="CH340" s="105">
        <v>0.2</v>
      </c>
      <c r="CI340" s="105">
        <v>0.5</v>
      </c>
      <c r="CJ340" s="104" t="s">
        <v>385</v>
      </c>
      <c r="CK340" s="172">
        <f t="shared" si="605"/>
        <v>8.2667163025210086E-3</v>
      </c>
      <c r="CL340" s="99" t="s">
        <v>629</v>
      </c>
      <c r="CM340" s="105">
        <v>0.2</v>
      </c>
      <c r="CN340" s="105">
        <v>0.5</v>
      </c>
      <c r="CO340" s="104" t="s">
        <v>385</v>
      </c>
      <c r="CP340" s="46"/>
      <c r="CQ340" s="103">
        <v>0.3</v>
      </c>
      <c r="CR340" s="99" t="s">
        <v>574</v>
      </c>
      <c r="CS340" s="46"/>
      <c r="CT340" s="103">
        <v>2.36016</v>
      </c>
      <c r="CU340" s="99" t="s">
        <v>574</v>
      </c>
      <c r="CV340" s="46"/>
      <c r="CW340" s="48"/>
      <c r="CX340" s="46"/>
      <c r="CY340" s="46"/>
      <c r="CZ340" s="48"/>
      <c r="DA340" s="48"/>
      <c r="DB340" s="48"/>
      <c r="DC340" s="48"/>
      <c r="DD340" s="46"/>
      <c r="DE340" s="46"/>
      <c r="DF340" s="48"/>
      <c r="DG340" s="48"/>
      <c r="DH340" s="48"/>
      <c r="DI340" s="49"/>
      <c r="DJ340" s="50">
        <v>0.2</v>
      </c>
      <c r="DK340" s="50">
        <v>0.1</v>
      </c>
      <c r="DS340" s="37" t="s">
        <v>636</v>
      </c>
      <c r="DT340" s="37">
        <v>1.2E-2</v>
      </c>
      <c r="DU340" s="78">
        <f t="shared" si="607"/>
        <v>0.252</v>
      </c>
      <c r="DV340" s="78">
        <f t="shared" si="608"/>
        <v>0.3</v>
      </c>
      <c r="DW340" s="37">
        <v>0.6</v>
      </c>
      <c r="DX340" s="37">
        <v>0.42</v>
      </c>
      <c r="DY340" s="78">
        <f t="shared" si="609"/>
        <v>0.252</v>
      </c>
      <c r="DZ340" s="37">
        <v>0.02</v>
      </c>
      <c r="EA340" s="176">
        <f t="shared" si="610"/>
        <v>7.92E-3</v>
      </c>
      <c r="EB340" s="176">
        <f t="shared" si="611"/>
        <v>2.4552</v>
      </c>
      <c r="EC340" s="176">
        <f t="shared" si="612"/>
        <v>2.36016</v>
      </c>
      <c r="ED340" s="177">
        <f t="shared" si="613"/>
        <v>2.7072000000000003</v>
      </c>
      <c r="EE340" s="177">
        <f t="shared" si="613"/>
        <v>2.6601599999999999</v>
      </c>
      <c r="EF340" s="49" t="s">
        <v>638</v>
      </c>
      <c r="EG340" s="37" t="s">
        <v>639</v>
      </c>
    </row>
    <row r="341" spans="17:137" s="37" customFormat="1" ht="28.15" hidden="1" thickBot="1">
      <c r="Q341" s="127" t="s">
        <v>640</v>
      </c>
      <c r="S341" s="150">
        <v>0.82</v>
      </c>
      <c r="T341" s="150">
        <v>1.8</v>
      </c>
      <c r="U341" s="153">
        <f t="shared" si="595"/>
        <v>0</v>
      </c>
      <c r="V341" s="153">
        <f t="shared" si="595"/>
        <v>0</v>
      </c>
      <c r="W341" s="153">
        <f t="shared" si="595"/>
        <v>4.2329571428571426E-3</v>
      </c>
      <c r="X341" s="152">
        <f t="shared" si="595"/>
        <v>1.6931828571428571E-2</v>
      </c>
      <c r="Y341" s="153">
        <f t="shared" si="595"/>
        <v>4.2329571428571426E-3</v>
      </c>
      <c r="Z341" s="153">
        <f t="shared" si="595"/>
        <v>0</v>
      </c>
      <c r="AA341" s="153">
        <v>0</v>
      </c>
      <c r="AB341" s="156">
        <v>0</v>
      </c>
      <c r="AC341" s="153">
        <v>0</v>
      </c>
      <c r="AD341" s="153">
        <f t="shared" si="595"/>
        <v>0</v>
      </c>
      <c r="AE341" s="153">
        <f t="shared" si="595"/>
        <v>0</v>
      </c>
      <c r="AF341" s="153">
        <f t="shared" si="595"/>
        <v>5.0795485714285717E-3</v>
      </c>
      <c r="AG341" s="153">
        <f t="shared" si="595"/>
        <v>0</v>
      </c>
      <c r="AH341" s="153">
        <f t="shared" si="595"/>
        <v>8.4659142857142863E-2</v>
      </c>
      <c r="AI341" s="153">
        <f t="shared" si="595"/>
        <v>8.4659142857142853E-3</v>
      </c>
      <c r="AJ341" s="160">
        <f t="shared" si="595"/>
        <v>8.4659142857142853E-3</v>
      </c>
      <c r="AK341" s="153">
        <f t="shared" si="596"/>
        <v>8.4659142857142853E-3</v>
      </c>
      <c r="AL341" s="163">
        <f t="shared" si="597"/>
        <v>8.2667163025210086E-3</v>
      </c>
      <c r="AM341" s="36">
        <v>0.02</v>
      </c>
      <c r="AN341" s="36">
        <v>1.4</v>
      </c>
      <c r="AP341" s="38">
        <v>0</v>
      </c>
      <c r="AQ341" s="165">
        <v>0.3</v>
      </c>
      <c r="AR341" s="164">
        <v>0.1</v>
      </c>
      <c r="AS341" s="166">
        <v>0.1</v>
      </c>
      <c r="AT341" s="166">
        <v>0.24</v>
      </c>
      <c r="AU341" s="168">
        <f>(AS341*365)*(AT341*0.67*0.015*1)</f>
        <v>8.8038000000000005E-2</v>
      </c>
      <c r="AV341" s="168">
        <f>(AS341*365)*(AT341*0.67*0.005*1)</f>
        <v>2.9346000000000001E-2</v>
      </c>
      <c r="AW341" s="170"/>
      <c r="AX341" s="168">
        <f>(AS341*365)*(AT341*0.67*0.04*1)</f>
        <v>0.234768</v>
      </c>
      <c r="AY341" s="168">
        <f>(AS341*365)*(AT341*0.67*0.015*1)</f>
        <v>8.8038000000000005E-2</v>
      </c>
      <c r="AZ341" s="169">
        <f>(AR341*365)*(AS341*0.67*0.65*1)</f>
        <v>1.5895750000000002</v>
      </c>
      <c r="BA341" s="168">
        <f>(AS341*365)*(AT341*0.67*0.65*1)</f>
        <v>3.8149800000000003</v>
      </c>
      <c r="BB341" s="168">
        <f>(AS341*365)*(AT341*0.67*0.79*1)</f>
        <v>4.6366680000000002</v>
      </c>
      <c r="BC341" s="168">
        <v>0</v>
      </c>
      <c r="BD341" s="168" t="s">
        <v>637</v>
      </c>
      <c r="BE341" s="168">
        <v>0</v>
      </c>
      <c r="BF341" s="168">
        <f t="shared" si="598"/>
        <v>5.8692000000000002</v>
      </c>
      <c r="BG341" s="169">
        <f t="shared" si="599"/>
        <v>0.24455000000000005</v>
      </c>
      <c r="BH341" s="168">
        <f t="shared" si="599"/>
        <v>0.58692</v>
      </c>
      <c r="BI341" s="168">
        <f t="shared" si="600"/>
        <v>2.9346000000000001E-2</v>
      </c>
      <c r="BJ341" s="168">
        <f>(AS341*365)*(AT341*0.67*0.01*1)</f>
        <v>5.8692000000000001E-2</v>
      </c>
      <c r="BK341" s="168">
        <f>(AS341*365)*(AT341*0.67*0.0015*1)</f>
        <v>8.8038000000000005E-3</v>
      </c>
      <c r="BL341" s="168">
        <v>0</v>
      </c>
      <c r="BM341" s="168">
        <v>0</v>
      </c>
      <c r="BN341" s="168">
        <f t="shared" si="601"/>
        <v>4325.7949851678131</v>
      </c>
      <c r="BO341" s="169">
        <f t="shared" si="602"/>
        <v>148.29993356324255</v>
      </c>
      <c r="BP341" s="168">
        <f t="shared" si="602"/>
        <v>432.57949851678131</v>
      </c>
      <c r="BQ341" s="168">
        <f>(BA341*365)*(BB341*0.67*0.01*1)</f>
        <v>43.257949851678127</v>
      </c>
      <c r="BR341" s="168">
        <f>(BA341*365)*(BB341*0.67*0.0015*1)</f>
        <v>6.4886924777517194</v>
      </c>
      <c r="BS341" s="168">
        <v>0</v>
      </c>
      <c r="BT341" s="167">
        <f t="shared" si="603"/>
        <v>1.0799327999999999</v>
      </c>
      <c r="BU341" s="168"/>
      <c r="BV341" s="169"/>
      <c r="BW341" s="168"/>
      <c r="BX341" s="168"/>
      <c r="BY341" s="168"/>
      <c r="BZ341" s="168"/>
      <c r="CA341" s="167"/>
      <c r="CC341" s="117"/>
      <c r="CD341" s="118" t="str">
        <f t="shared" si="604"/>
        <v>Aves de Corral - Clima Templado</v>
      </c>
      <c r="CE341" s="99" t="s">
        <v>628</v>
      </c>
      <c r="CF341" s="172">
        <f t="shared" si="606"/>
        <v>1.0799327999999999</v>
      </c>
      <c r="CG341" s="99" t="s">
        <v>577</v>
      </c>
      <c r="CH341" s="105">
        <v>0.2</v>
      </c>
      <c r="CI341" s="105">
        <v>0.5</v>
      </c>
      <c r="CJ341" s="104" t="s">
        <v>385</v>
      </c>
      <c r="CK341" s="172">
        <f t="shared" si="605"/>
        <v>8.2667163025210086E-3</v>
      </c>
      <c r="CL341" s="99" t="s">
        <v>629</v>
      </c>
      <c r="CM341" s="105">
        <v>0.2</v>
      </c>
      <c r="CN341" s="105">
        <v>0.5</v>
      </c>
      <c r="CO341" s="104" t="s">
        <v>385</v>
      </c>
      <c r="CP341" s="46"/>
      <c r="CQ341" s="103">
        <v>0.45</v>
      </c>
      <c r="CR341" s="99" t="s">
        <v>574</v>
      </c>
      <c r="CS341" s="46"/>
      <c r="CT341" s="103">
        <v>2.36016</v>
      </c>
      <c r="CU341" s="99" t="s">
        <v>574</v>
      </c>
      <c r="CV341" s="46"/>
      <c r="CW341" s="48"/>
      <c r="CX341" s="46"/>
      <c r="CY341" s="46"/>
      <c r="CZ341" s="48"/>
      <c r="DA341" s="48"/>
      <c r="DB341" s="48"/>
      <c r="DC341" s="48"/>
      <c r="DD341" s="46"/>
      <c r="DE341" s="46"/>
      <c r="DF341" s="48"/>
      <c r="DG341" s="48"/>
      <c r="DH341" s="48"/>
      <c r="DI341" s="49"/>
      <c r="DJ341" s="50">
        <v>0.2</v>
      </c>
      <c r="DK341" s="50">
        <v>0.1</v>
      </c>
      <c r="DS341" s="37" t="s">
        <v>640</v>
      </c>
      <c r="DT341" s="37">
        <v>1.7999999999999999E-2</v>
      </c>
      <c r="DU341" s="78">
        <f t="shared" si="607"/>
        <v>0.37799999999999995</v>
      </c>
      <c r="DV341" s="78">
        <f t="shared" si="608"/>
        <v>0.44999999999999996</v>
      </c>
      <c r="DW341" s="37">
        <v>0.6</v>
      </c>
      <c r="DX341" s="37">
        <v>0.42</v>
      </c>
      <c r="DY341" s="78">
        <f t="shared" si="609"/>
        <v>0.252</v>
      </c>
      <c r="DZ341" s="37">
        <v>0.02</v>
      </c>
      <c r="EA341" s="176">
        <f t="shared" si="610"/>
        <v>7.92E-3</v>
      </c>
      <c r="EB341" s="176">
        <f t="shared" si="611"/>
        <v>2.4552</v>
      </c>
      <c r="EC341" s="176">
        <f t="shared" si="612"/>
        <v>2.36016</v>
      </c>
      <c r="ED341" s="177">
        <f t="shared" si="613"/>
        <v>2.8332000000000002</v>
      </c>
      <c r="EE341" s="177">
        <f t="shared" si="613"/>
        <v>2.8101599999999998</v>
      </c>
      <c r="EF341" s="49" t="s">
        <v>638</v>
      </c>
      <c r="EG341" s="37" t="s">
        <v>639</v>
      </c>
    </row>
    <row r="342" spans="17:137" s="37" customFormat="1" ht="28.15" hidden="1" thickBot="1">
      <c r="Q342" s="127" t="s">
        <v>641</v>
      </c>
      <c r="S342" s="150">
        <v>0.82</v>
      </c>
      <c r="T342" s="150">
        <v>1.8</v>
      </c>
      <c r="U342" s="153">
        <f t="shared" si="595"/>
        <v>0</v>
      </c>
      <c r="V342" s="153">
        <f t="shared" si="595"/>
        <v>0</v>
      </c>
      <c r="W342" s="153">
        <f t="shared" si="595"/>
        <v>4.2329571428571426E-3</v>
      </c>
      <c r="X342" s="152">
        <f t="shared" si="595"/>
        <v>1.6931828571428571E-2</v>
      </c>
      <c r="Y342" s="153">
        <f t="shared" si="595"/>
        <v>4.2329571428571426E-3</v>
      </c>
      <c r="Z342" s="153">
        <f t="shared" si="595"/>
        <v>0</v>
      </c>
      <c r="AA342" s="153">
        <v>0</v>
      </c>
      <c r="AB342" s="156">
        <v>0</v>
      </c>
      <c r="AC342" s="153">
        <v>0</v>
      </c>
      <c r="AD342" s="153">
        <f t="shared" si="595"/>
        <v>0</v>
      </c>
      <c r="AE342" s="153">
        <f t="shared" si="595"/>
        <v>0</v>
      </c>
      <c r="AF342" s="153">
        <f t="shared" si="595"/>
        <v>5.0795485714285717E-3</v>
      </c>
      <c r="AG342" s="153">
        <f t="shared" si="595"/>
        <v>0</v>
      </c>
      <c r="AH342" s="153">
        <f t="shared" si="595"/>
        <v>8.4659142857142863E-2</v>
      </c>
      <c r="AI342" s="153">
        <f t="shared" si="595"/>
        <v>8.4659142857142853E-3</v>
      </c>
      <c r="AJ342" s="160">
        <f t="shared" si="595"/>
        <v>8.4659142857142853E-3</v>
      </c>
      <c r="AK342" s="153">
        <f t="shared" si="596"/>
        <v>8.4659142857142853E-3</v>
      </c>
      <c r="AL342" s="163">
        <f t="shared" si="597"/>
        <v>8.2667163025210086E-3</v>
      </c>
      <c r="AM342" s="36">
        <v>0.02</v>
      </c>
      <c r="AN342" s="36">
        <v>1.4</v>
      </c>
      <c r="AP342" s="38">
        <v>0</v>
      </c>
      <c r="AQ342" s="165">
        <v>0.3</v>
      </c>
      <c r="AR342" s="164">
        <v>0.1</v>
      </c>
      <c r="AS342" s="166">
        <v>0.1</v>
      </c>
      <c r="AT342" s="166">
        <v>0.24</v>
      </c>
      <c r="AU342" s="168">
        <f>(AS342*365)*(AT342*0.67*0.02*1)</f>
        <v>0.117384</v>
      </c>
      <c r="AV342" s="168">
        <f>(AS342*365)*(AT342*0.67*0.01*1)</f>
        <v>5.8692000000000001E-2</v>
      </c>
      <c r="AW342" s="170"/>
      <c r="AX342" s="168">
        <f>(AS342*365)*(AT342*0.67*0.05*1)</f>
        <v>0.29346</v>
      </c>
      <c r="AY342" s="168">
        <f>(AS342*365)*(AT342*0.67*0.02*1)</f>
        <v>0.117384</v>
      </c>
      <c r="AZ342" s="169">
        <f>(AR342*365)*(AS342*0.67*0.8*1)</f>
        <v>1.9564000000000004</v>
      </c>
      <c r="BA342" s="168">
        <f>(AS342*365)*(AT342*0.67*0.8*1)</f>
        <v>4.69536</v>
      </c>
      <c r="BB342" s="168">
        <f>(AS342*365)*(AT342*0.67*0.8*1)</f>
        <v>4.69536</v>
      </c>
      <c r="BC342" s="168">
        <v>0</v>
      </c>
      <c r="BD342" s="168" t="s">
        <v>637</v>
      </c>
      <c r="BE342" s="168">
        <v>0</v>
      </c>
      <c r="BF342" s="168">
        <f t="shared" si="598"/>
        <v>5.8692000000000002</v>
      </c>
      <c r="BG342" s="169">
        <f t="shared" si="599"/>
        <v>0.24455000000000005</v>
      </c>
      <c r="BH342" s="168">
        <f t="shared" si="599"/>
        <v>0.58692</v>
      </c>
      <c r="BI342" s="168">
        <f t="shared" si="600"/>
        <v>2.9346000000000001E-2</v>
      </c>
      <c r="BJ342" s="168">
        <f>(AS342*365)*(AT342*0.67*0.015*1)</f>
        <v>8.8038000000000005E-2</v>
      </c>
      <c r="BK342" s="168">
        <f>(AS342*365)*(AT342*0.67*0.0015*1)</f>
        <v>8.8038000000000005E-3</v>
      </c>
      <c r="BL342" s="168">
        <v>0</v>
      </c>
      <c r="BM342" s="168">
        <v>0</v>
      </c>
      <c r="BN342" s="168">
        <f t="shared" si="601"/>
        <v>5391.4484722636807</v>
      </c>
      <c r="BO342" s="169">
        <f t="shared" si="602"/>
        <v>224.64368634432009</v>
      </c>
      <c r="BP342" s="168">
        <f t="shared" si="602"/>
        <v>539.14484722636803</v>
      </c>
      <c r="BQ342" s="168">
        <f>(BA342*365)*(BB342*0.67*0.015*1)</f>
        <v>80.871727083955193</v>
      </c>
      <c r="BR342" s="168">
        <f>(BA342*365)*(BB342*0.67*0.0015*1)</f>
        <v>8.0871727083955207</v>
      </c>
      <c r="BS342" s="168">
        <v>0</v>
      </c>
      <c r="BT342" s="167">
        <f t="shared" si="603"/>
        <v>1.1725561124999999</v>
      </c>
      <c r="BU342" s="168"/>
      <c r="BV342" s="169"/>
      <c r="BW342" s="168"/>
      <c r="BX342" s="168"/>
      <c r="BY342" s="168"/>
      <c r="BZ342" s="168"/>
      <c r="CA342" s="167"/>
      <c r="CC342" s="117"/>
      <c r="CD342" s="118" t="str">
        <f t="shared" si="604"/>
        <v>Aves de Corral - Clima Cálido</v>
      </c>
      <c r="CE342" s="99" t="s">
        <v>628</v>
      </c>
      <c r="CF342" s="172">
        <f t="shared" si="606"/>
        <v>1.1725561124999999</v>
      </c>
      <c r="CG342" s="99" t="s">
        <v>577</v>
      </c>
      <c r="CH342" s="105">
        <v>0.2</v>
      </c>
      <c r="CI342" s="105">
        <v>0.5</v>
      </c>
      <c r="CJ342" s="104" t="s">
        <v>385</v>
      </c>
      <c r="CK342" s="172">
        <f t="shared" si="605"/>
        <v>8.2667163025210086E-3</v>
      </c>
      <c r="CL342" s="99" t="s">
        <v>629</v>
      </c>
      <c r="CM342" s="105">
        <v>0.2</v>
      </c>
      <c r="CN342" s="105">
        <v>0.5</v>
      </c>
      <c r="CO342" s="104" t="s">
        <v>385</v>
      </c>
      <c r="CP342" s="46"/>
      <c r="CQ342" s="103">
        <v>0.57499999999999996</v>
      </c>
      <c r="CR342" s="99" t="s">
        <v>574</v>
      </c>
      <c r="CS342" s="46"/>
      <c r="CT342" s="103">
        <v>2.36016</v>
      </c>
      <c r="CU342" s="99" t="s">
        <v>574</v>
      </c>
      <c r="CV342" s="46"/>
      <c r="CW342" s="48"/>
      <c r="CX342" s="46"/>
      <c r="CY342" s="46"/>
      <c r="CZ342" s="48"/>
      <c r="DA342" s="48"/>
      <c r="DB342" s="48"/>
      <c r="DC342" s="48"/>
      <c r="DD342" s="46"/>
      <c r="DE342" s="46"/>
      <c r="DF342" s="48"/>
      <c r="DG342" s="48"/>
      <c r="DH342" s="48"/>
      <c r="DI342" s="49"/>
      <c r="DJ342" s="50">
        <v>0.2</v>
      </c>
      <c r="DK342" s="50">
        <v>0.1</v>
      </c>
      <c r="DS342" s="37" t="s">
        <v>641</v>
      </c>
      <c r="DT342" s="37">
        <v>2.3E-2</v>
      </c>
      <c r="DU342" s="78">
        <f t="shared" si="607"/>
        <v>0.48299999999999998</v>
      </c>
      <c r="DV342" s="78">
        <f t="shared" si="608"/>
        <v>0.57499999999999996</v>
      </c>
      <c r="DW342" s="37">
        <v>0.6</v>
      </c>
      <c r="DX342" s="37">
        <v>0.42</v>
      </c>
      <c r="DY342" s="78">
        <f t="shared" si="609"/>
        <v>0.252</v>
      </c>
      <c r="DZ342" s="37">
        <v>0.02</v>
      </c>
      <c r="EA342" s="176">
        <f t="shared" si="610"/>
        <v>7.92E-3</v>
      </c>
      <c r="EB342" s="176">
        <f t="shared" si="611"/>
        <v>2.4552</v>
      </c>
      <c r="EC342" s="176">
        <f t="shared" si="612"/>
        <v>2.36016</v>
      </c>
      <c r="ED342" s="177">
        <f t="shared" si="613"/>
        <v>2.9382000000000001</v>
      </c>
      <c r="EE342" s="177">
        <f t="shared" si="613"/>
        <v>2.9351599999999998</v>
      </c>
      <c r="EF342" s="49" t="s">
        <v>638</v>
      </c>
      <c r="EG342" s="37" t="s">
        <v>639</v>
      </c>
    </row>
    <row r="343" spans="17:137" s="37" customFormat="1" ht="28.15" hidden="1" thickBot="1">
      <c r="Q343" s="127" t="s">
        <v>642</v>
      </c>
      <c r="S343" s="150">
        <v>1.17</v>
      </c>
      <c r="T343" s="150">
        <v>28</v>
      </c>
      <c r="U343" s="153">
        <f t="shared" si="595"/>
        <v>0</v>
      </c>
      <c r="V343" s="153">
        <f t="shared" si="595"/>
        <v>0</v>
      </c>
      <c r="W343" s="153">
        <f t="shared" si="595"/>
        <v>9.3950999999999993E-2</v>
      </c>
      <c r="X343" s="152">
        <f t="shared" si="595"/>
        <v>0.37580399999999997</v>
      </c>
      <c r="Y343" s="153">
        <f t="shared" si="595"/>
        <v>9.3950999999999993E-2</v>
      </c>
      <c r="Z343" s="153">
        <f t="shared" si="595"/>
        <v>0</v>
      </c>
      <c r="AA343" s="153">
        <f t="shared" si="595"/>
        <v>0.18790199999999999</v>
      </c>
      <c r="AB343" s="156">
        <f t="shared" si="595"/>
        <v>1.3153140000000001</v>
      </c>
      <c r="AC343" s="153">
        <f t="shared" si="595"/>
        <v>1.3153140000000001</v>
      </c>
      <c r="AD343" s="153">
        <f t="shared" si="595"/>
        <v>0</v>
      </c>
      <c r="AE343" s="153">
        <f t="shared" si="595"/>
        <v>0</v>
      </c>
      <c r="AF343" s="153">
        <f t="shared" si="595"/>
        <v>0.1127412</v>
      </c>
      <c r="AG343" s="153">
        <f t="shared" si="595"/>
        <v>0</v>
      </c>
      <c r="AH343" s="153">
        <f t="shared" si="595"/>
        <v>1.8790199999999999</v>
      </c>
      <c r="AI343" s="153">
        <v>0</v>
      </c>
      <c r="AJ343" s="160">
        <f t="shared" si="595"/>
        <v>0.18790199999999999</v>
      </c>
      <c r="AK343" s="153">
        <f t="shared" si="596"/>
        <v>0.18790199999999999</v>
      </c>
      <c r="AL343" s="163">
        <f t="shared" si="597"/>
        <v>0.33822360000000001</v>
      </c>
      <c r="AM343" s="36">
        <v>0.1</v>
      </c>
      <c r="AN343" s="38">
        <v>0</v>
      </c>
      <c r="AP343" s="38">
        <v>0</v>
      </c>
      <c r="AQ343" s="165">
        <v>0.3</v>
      </c>
      <c r="AR343" s="164">
        <v>0.32</v>
      </c>
      <c r="AS343" s="166">
        <v>0.32</v>
      </c>
      <c r="AT343" s="166">
        <v>0.13</v>
      </c>
      <c r="AU343" s="168">
        <f>(AS343*365)*(AT343*0.67*0.01*1)</f>
        <v>0.10173280000000001</v>
      </c>
      <c r="AV343" s="168">
        <f>(AS343*365)*(AT343*0.67*0.001*1)</f>
        <v>1.0173280000000002E-2</v>
      </c>
      <c r="AW343" s="170"/>
      <c r="AX343" s="168">
        <f>(AS343*365)*(AT343*0.67*0.02*1)</f>
        <v>0.20346560000000002</v>
      </c>
      <c r="AY343" s="168">
        <f>(AS343*365)*(AT343*0.67*0.01*1)</f>
        <v>0.10173280000000001</v>
      </c>
      <c r="AZ343" s="169">
        <f>(AR343*365)*(AS343*0.67*0.25*1)</f>
        <v>6.2604800000000003</v>
      </c>
      <c r="BA343" s="168">
        <f>(AS343*365)*(AT343*0.67*0.25*1)</f>
        <v>2.5433200000000005</v>
      </c>
      <c r="BB343" s="168">
        <f>(AS343*365)*(AT343*0.67*0.73*1)</f>
        <v>7.4264944000000002</v>
      </c>
      <c r="BC343" s="168">
        <f>(AS343*365)*(AT343*0.67*0.03*1)</f>
        <v>0.30519840000000004</v>
      </c>
      <c r="BD343" s="170"/>
      <c r="BE343" s="168">
        <f>(AS343*365)*(AT343*0.67*0.25*1)</f>
        <v>2.5433200000000005</v>
      </c>
      <c r="BF343" s="168">
        <f t="shared" si="598"/>
        <v>10.173280000000002</v>
      </c>
      <c r="BG343" s="169">
        <f t="shared" si="599"/>
        <v>2.5041920000000002</v>
      </c>
      <c r="BH343" s="168">
        <f t="shared" si="599"/>
        <v>1.017328</v>
      </c>
      <c r="BI343" s="168">
        <f t="shared" si="600"/>
        <v>5.0866400000000006E-2</v>
      </c>
      <c r="BJ343" s="168">
        <f>(AS343*365)*(AT343*0.67*0.005*1)</f>
        <v>5.0866400000000006E-2</v>
      </c>
      <c r="BK343" s="168">
        <v>0</v>
      </c>
      <c r="BL343" s="168">
        <v>0</v>
      </c>
      <c r="BM343" s="168">
        <f>(BA343*365)*(BB343*0.67*0.25*1)</f>
        <v>1154.7621493457821</v>
      </c>
      <c r="BN343" s="168">
        <f t="shared" si="601"/>
        <v>4619.0485973831283</v>
      </c>
      <c r="BO343" s="169">
        <f t="shared" si="602"/>
        <v>389.38238966348814</v>
      </c>
      <c r="BP343" s="168">
        <f t="shared" si="602"/>
        <v>461.90485973831284</v>
      </c>
      <c r="BQ343" s="168">
        <f>(BA343*365)*(BB343*0.67*0.005*1)</f>
        <v>23.09524298691564</v>
      </c>
      <c r="BR343" s="168">
        <v>0</v>
      </c>
      <c r="BS343" s="168">
        <v>0</v>
      </c>
      <c r="BT343" s="167">
        <f t="shared" si="603"/>
        <v>2.0807781299999997</v>
      </c>
      <c r="BU343" s="168"/>
      <c r="BV343" s="169"/>
      <c r="BW343" s="168"/>
      <c r="BX343" s="168"/>
      <c r="BY343" s="168"/>
      <c r="BZ343" s="168"/>
      <c r="CA343" s="167"/>
      <c r="CC343" s="117"/>
      <c r="CD343" s="118" t="str">
        <f t="shared" si="604"/>
        <v>Ovejas - Clima Frío</v>
      </c>
      <c r="CE343" s="99" t="s">
        <v>628</v>
      </c>
      <c r="CF343" s="172">
        <f t="shared" si="606"/>
        <v>2.0807781299999997</v>
      </c>
      <c r="CG343" s="99" t="s">
        <v>577</v>
      </c>
      <c r="CH343" s="105">
        <v>0.2</v>
      </c>
      <c r="CI343" s="105">
        <v>0.5</v>
      </c>
      <c r="CJ343" s="104" t="s">
        <v>385</v>
      </c>
      <c r="CK343" s="172">
        <f t="shared" si="605"/>
        <v>0.33822360000000001</v>
      </c>
      <c r="CL343" s="99" t="s">
        <v>629</v>
      </c>
      <c r="CM343" s="105">
        <v>0.2</v>
      </c>
      <c r="CN343" s="105">
        <v>0.5</v>
      </c>
      <c r="CO343" s="104" t="s">
        <v>385</v>
      </c>
      <c r="CP343" s="46"/>
      <c r="CQ343" s="103">
        <v>2.5</v>
      </c>
      <c r="CR343" s="99" t="s">
        <v>574</v>
      </c>
      <c r="CS343" s="46"/>
      <c r="CT343" s="103">
        <v>112.388571428571</v>
      </c>
      <c r="CU343" s="99" t="s">
        <v>574</v>
      </c>
      <c r="CV343" s="46"/>
      <c r="CW343" s="48"/>
      <c r="CX343" s="46"/>
      <c r="CY343" s="46"/>
      <c r="CZ343" s="48"/>
      <c r="DA343" s="48"/>
      <c r="DB343" s="48"/>
      <c r="DC343" s="48"/>
      <c r="DD343" s="46"/>
      <c r="DE343" s="46"/>
      <c r="DF343" s="48"/>
      <c r="DG343" s="48"/>
      <c r="DH343" s="48"/>
      <c r="DI343" s="49"/>
      <c r="DJ343" s="50">
        <v>0.2</v>
      </c>
      <c r="DK343" s="50">
        <v>0.25</v>
      </c>
      <c r="DS343" s="37" t="s">
        <v>642</v>
      </c>
      <c r="DT343" s="37">
        <v>0.1</v>
      </c>
      <c r="DU343" s="78">
        <f t="shared" si="607"/>
        <v>2.1</v>
      </c>
      <c r="DV343" s="78">
        <f t="shared" si="608"/>
        <v>2.5</v>
      </c>
      <c r="DW343" s="37">
        <v>12</v>
      </c>
      <c r="DX343" s="37">
        <v>1</v>
      </c>
      <c r="DY343" s="78">
        <f t="shared" si="609"/>
        <v>12</v>
      </c>
      <c r="DZ343" s="37">
        <v>0.02</v>
      </c>
      <c r="EA343" s="176">
        <f t="shared" si="610"/>
        <v>0.37714285714285711</v>
      </c>
      <c r="EB343" s="176">
        <f t="shared" si="611"/>
        <v>116.91428571428571</v>
      </c>
      <c r="EC343" s="176">
        <f t="shared" si="612"/>
        <v>112.38857142857142</v>
      </c>
      <c r="ED343" s="177">
        <f t="shared" si="613"/>
        <v>119.01428571428571</v>
      </c>
      <c r="EE343" s="177">
        <f t="shared" si="613"/>
        <v>114.88857142857142</v>
      </c>
      <c r="EF343" s="49" t="s">
        <v>628</v>
      </c>
      <c r="EG343" s="37" t="s">
        <v>631</v>
      </c>
    </row>
    <row r="344" spans="17:137" s="37" customFormat="1" ht="28.15" hidden="1" thickBot="1">
      <c r="Q344" s="127" t="s">
        <v>643</v>
      </c>
      <c r="S344" s="150">
        <v>1.17</v>
      </c>
      <c r="T344" s="150">
        <v>28</v>
      </c>
      <c r="U344" s="153">
        <f t="shared" si="595"/>
        <v>0</v>
      </c>
      <c r="V344" s="153">
        <f t="shared" si="595"/>
        <v>0</v>
      </c>
      <c r="W344" s="153">
        <f t="shared" si="595"/>
        <v>9.3950999999999993E-2</v>
      </c>
      <c r="X344" s="152">
        <f t="shared" si="595"/>
        <v>0.37580399999999997</v>
      </c>
      <c r="Y344" s="153">
        <f t="shared" si="595"/>
        <v>9.3950999999999993E-2</v>
      </c>
      <c r="Z344" s="153">
        <f t="shared" si="595"/>
        <v>0</v>
      </c>
      <c r="AA344" s="153">
        <f t="shared" si="595"/>
        <v>0.18790199999999999</v>
      </c>
      <c r="AB344" s="156">
        <f t="shared" si="595"/>
        <v>1.3153140000000001</v>
      </c>
      <c r="AC344" s="153">
        <f t="shared" si="595"/>
        <v>1.3153140000000001</v>
      </c>
      <c r="AD344" s="153">
        <f t="shared" si="595"/>
        <v>0</v>
      </c>
      <c r="AE344" s="153">
        <f t="shared" si="595"/>
        <v>0</v>
      </c>
      <c r="AF344" s="153">
        <f t="shared" si="595"/>
        <v>0.1127412</v>
      </c>
      <c r="AG344" s="153">
        <f t="shared" si="595"/>
        <v>0</v>
      </c>
      <c r="AH344" s="153">
        <f t="shared" si="595"/>
        <v>1.8790199999999999</v>
      </c>
      <c r="AI344" s="153">
        <v>0</v>
      </c>
      <c r="AJ344" s="160">
        <f t="shared" si="595"/>
        <v>0.18790199999999999</v>
      </c>
      <c r="AK344" s="153">
        <f t="shared" si="596"/>
        <v>0.18790199999999999</v>
      </c>
      <c r="AL344" s="163">
        <f t="shared" si="597"/>
        <v>0.33822360000000001</v>
      </c>
      <c r="AM344" s="36">
        <v>0.15</v>
      </c>
      <c r="AN344" s="38">
        <v>0</v>
      </c>
      <c r="AP344" s="38">
        <v>0</v>
      </c>
      <c r="AQ344" s="165">
        <v>0.3</v>
      </c>
      <c r="AR344" s="164">
        <v>0.32</v>
      </c>
      <c r="AS344" s="166">
        <v>0.32</v>
      </c>
      <c r="AT344" s="166">
        <v>0.13</v>
      </c>
      <c r="AU344" s="168">
        <f>(AS344*365)*(AT344*0.67*0.015*1)</f>
        <v>0.15259920000000002</v>
      </c>
      <c r="AV344" s="168">
        <f>(AS344*365)*(AT344*0.67*0.005*1)</f>
        <v>5.0866400000000006E-2</v>
      </c>
      <c r="AW344" s="170"/>
      <c r="AX344" s="168">
        <f>(AS344*365)*(AT344*0.67*0.04*1)</f>
        <v>0.40693120000000005</v>
      </c>
      <c r="AY344" s="168">
        <f>(AS344*365)*(AT344*0.67*0.015*1)</f>
        <v>0.15259920000000002</v>
      </c>
      <c r="AZ344" s="169">
        <f>(AR344*365)*(AS344*0.67*0.65*1)</f>
        <v>16.277248</v>
      </c>
      <c r="BA344" s="168">
        <f>(AS344*365)*(AT344*0.67*0.65*1)</f>
        <v>6.6126320000000005</v>
      </c>
      <c r="BB344" s="168">
        <f>(AS344*365)*(AT344*0.67*0.79*1)</f>
        <v>8.0368912000000012</v>
      </c>
      <c r="BC344" s="168">
        <f>(AS344*365)*(AT344*0.67*0.03*1)</f>
        <v>0.30519840000000004</v>
      </c>
      <c r="BD344" s="170"/>
      <c r="BE344" s="168">
        <f>(AS344*365)*(AT344*0.67*0.65*1)</f>
        <v>6.6126320000000005</v>
      </c>
      <c r="BF344" s="168">
        <f t="shared" si="598"/>
        <v>10.173280000000002</v>
      </c>
      <c r="BG344" s="169">
        <f t="shared" si="599"/>
        <v>2.5041920000000002</v>
      </c>
      <c r="BH344" s="168">
        <f t="shared" si="599"/>
        <v>1.017328</v>
      </c>
      <c r="BI344" s="168">
        <f t="shared" si="600"/>
        <v>5.0866400000000006E-2</v>
      </c>
      <c r="BJ344" s="168">
        <f>(AS344*365)*(AT344*0.67*0.01*1)</f>
        <v>0.10173280000000001</v>
      </c>
      <c r="BK344" s="168">
        <v>0</v>
      </c>
      <c r="BL344" s="168">
        <v>0</v>
      </c>
      <c r="BM344" s="168">
        <f>(BA344*365)*(BB344*0.67*0.65*1)</f>
        <v>8447.7969621454977</v>
      </c>
      <c r="BN344" s="168">
        <f t="shared" si="601"/>
        <v>12996.610710993074</v>
      </c>
      <c r="BO344" s="169">
        <f t="shared" si="602"/>
        <v>2632.2249541251795</v>
      </c>
      <c r="BP344" s="168">
        <f t="shared" si="602"/>
        <v>1299.6610710993075</v>
      </c>
      <c r="BQ344" s="168">
        <f>(BA344*365)*(BB344*0.67*0.01*1)</f>
        <v>129.96610710993073</v>
      </c>
      <c r="BR344" s="168">
        <v>0</v>
      </c>
      <c r="BS344" s="168">
        <v>0</v>
      </c>
      <c r="BT344" s="167">
        <f t="shared" si="603"/>
        <v>3.2784373000000007</v>
      </c>
      <c r="BU344" s="168"/>
      <c r="BV344" s="169"/>
      <c r="BW344" s="168"/>
      <c r="BX344" s="168"/>
      <c r="BY344" s="168"/>
      <c r="BZ344" s="168"/>
      <c r="CA344" s="167"/>
      <c r="CC344" s="117"/>
      <c r="CD344" s="118" t="str">
        <f t="shared" si="604"/>
        <v>Ovejas - Clima Templado</v>
      </c>
      <c r="CE344" s="99" t="s">
        <v>628</v>
      </c>
      <c r="CF344" s="172">
        <f t="shared" si="606"/>
        <v>3.2784373000000007</v>
      </c>
      <c r="CG344" s="99" t="s">
        <v>577</v>
      </c>
      <c r="CH344" s="105">
        <v>0.2</v>
      </c>
      <c r="CI344" s="105">
        <v>0.5</v>
      </c>
      <c r="CJ344" s="104" t="s">
        <v>385</v>
      </c>
      <c r="CK344" s="172">
        <f t="shared" si="605"/>
        <v>0.33822360000000001</v>
      </c>
      <c r="CL344" s="99" t="s">
        <v>629</v>
      </c>
      <c r="CM344" s="105">
        <v>0.2</v>
      </c>
      <c r="CN344" s="105">
        <v>0.5</v>
      </c>
      <c r="CO344" s="104" t="s">
        <v>385</v>
      </c>
      <c r="CP344" s="48"/>
      <c r="CQ344" s="103">
        <v>4</v>
      </c>
      <c r="CR344" s="99" t="s">
        <v>574</v>
      </c>
      <c r="CS344" s="48"/>
      <c r="CT344" s="103">
        <v>112.388571428571</v>
      </c>
      <c r="CU344" s="99" t="s">
        <v>574</v>
      </c>
      <c r="CV344" s="46"/>
      <c r="CW344" s="48"/>
      <c r="CX344" s="46"/>
      <c r="CY344" s="46"/>
      <c r="CZ344" s="48"/>
      <c r="DA344" s="48"/>
      <c r="DB344" s="48"/>
      <c r="DC344" s="48"/>
      <c r="DD344" s="46"/>
      <c r="DE344" s="46"/>
      <c r="DF344" s="48"/>
      <c r="DG344" s="48"/>
      <c r="DH344" s="48"/>
      <c r="DI344" s="49"/>
      <c r="DJ344" s="50">
        <v>0.2</v>
      </c>
      <c r="DK344" s="50">
        <v>0.25</v>
      </c>
      <c r="DS344" s="37" t="s">
        <v>643</v>
      </c>
      <c r="DT344" s="37">
        <v>0.16</v>
      </c>
      <c r="DU344" s="78">
        <f t="shared" si="607"/>
        <v>3.36</v>
      </c>
      <c r="DV344" s="78">
        <f t="shared" si="608"/>
        <v>4</v>
      </c>
      <c r="DW344" s="37">
        <v>12</v>
      </c>
      <c r="DX344" s="37">
        <v>1</v>
      </c>
      <c r="DY344" s="78">
        <f t="shared" si="609"/>
        <v>12</v>
      </c>
      <c r="DZ344" s="37">
        <v>0.02</v>
      </c>
      <c r="EA344" s="176">
        <f t="shared" si="610"/>
        <v>0.37714285714285711</v>
      </c>
      <c r="EB344" s="176">
        <f t="shared" si="611"/>
        <v>116.91428571428571</v>
      </c>
      <c r="EC344" s="176">
        <f t="shared" si="612"/>
        <v>112.38857142857142</v>
      </c>
      <c r="ED344" s="177">
        <f t="shared" si="613"/>
        <v>120.27428571428571</v>
      </c>
      <c r="EE344" s="177">
        <f t="shared" si="613"/>
        <v>116.38857142857142</v>
      </c>
      <c r="EF344" s="49" t="s">
        <v>628</v>
      </c>
      <c r="EG344" s="37" t="s">
        <v>631</v>
      </c>
    </row>
    <row r="345" spans="17:137" s="37" customFormat="1" ht="28.15" hidden="1" thickBot="1">
      <c r="Q345" s="127" t="s">
        <v>644</v>
      </c>
      <c r="S345" s="150">
        <v>1.17</v>
      </c>
      <c r="T345" s="150">
        <v>28</v>
      </c>
      <c r="U345" s="153">
        <f t="shared" si="595"/>
        <v>0</v>
      </c>
      <c r="V345" s="153">
        <f t="shared" si="595"/>
        <v>0</v>
      </c>
      <c r="W345" s="153">
        <f t="shared" si="595"/>
        <v>9.3950999999999993E-2</v>
      </c>
      <c r="X345" s="152">
        <f t="shared" si="595"/>
        <v>0.37580399999999997</v>
      </c>
      <c r="Y345" s="153">
        <f t="shared" si="595"/>
        <v>9.3950999999999993E-2</v>
      </c>
      <c r="Z345" s="153">
        <f t="shared" si="595"/>
        <v>0</v>
      </c>
      <c r="AA345" s="153">
        <f t="shared" si="595"/>
        <v>0.18790199999999999</v>
      </c>
      <c r="AB345" s="156">
        <f t="shared" si="595"/>
        <v>1.3153140000000001</v>
      </c>
      <c r="AC345" s="153">
        <f t="shared" si="595"/>
        <v>1.3153140000000001</v>
      </c>
      <c r="AD345" s="153">
        <f t="shared" si="595"/>
        <v>0</v>
      </c>
      <c r="AE345" s="153">
        <f t="shared" si="595"/>
        <v>0</v>
      </c>
      <c r="AF345" s="153">
        <f t="shared" si="595"/>
        <v>0.1127412</v>
      </c>
      <c r="AG345" s="153">
        <f t="shared" si="595"/>
        <v>0</v>
      </c>
      <c r="AH345" s="153">
        <f t="shared" si="595"/>
        <v>1.8790199999999999</v>
      </c>
      <c r="AI345" s="153">
        <v>0</v>
      </c>
      <c r="AJ345" s="160">
        <f t="shared" si="595"/>
        <v>0.18790199999999999</v>
      </c>
      <c r="AK345" s="153">
        <f t="shared" si="596"/>
        <v>0.18790199999999999</v>
      </c>
      <c r="AL345" s="163">
        <f t="shared" si="597"/>
        <v>0.33822360000000001</v>
      </c>
      <c r="AM345" s="36">
        <v>0.2</v>
      </c>
      <c r="AN345" s="38">
        <v>0</v>
      </c>
      <c r="AP345" s="38">
        <v>0</v>
      </c>
      <c r="AQ345" s="165">
        <v>0.3</v>
      </c>
      <c r="AR345" s="164">
        <v>0.32</v>
      </c>
      <c r="AS345" s="166">
        <v>0.32</v>
      </c>
      <c r="AT345" s="166">
        <v>0.13</v>
      </c>
      <c r="AU345" s="168">
        <f>(AS345*365)*(AT345*0.67*0.02*1)</f>
        <v>0.20346560000000002</v>
      </c>
      <c r="AV345" s="168">
        <f>(AS345*365)*(AT345*0.67*0.01*1)</f>
        <v>0.10173280000000001</v>
      </c>
      <c r="AW345" s="170"/>
      <c r="AX345" s="168">
        <f>(AS345*365)*(AT345*0.67*0.05*1)</f>
        <v>0.50866400000000001</v>
      </c>
      <c r="AY345" s="168">
        <f>(AS345*365)*(AT345*0.67*0.02*1)</f>
        <v>0.20346560000000002</v>
      </c>
      <c r="AZ345" s="169">
        <f>(AR345*365)*(AS345*0.67*0.8*1)</f>
        <v>20.033536000000002</v>
      </c>
      <c r="BA345" s="168">
        <f>(AS345*365)*(AT345*0.67*0.8*1)</f>
        <v>8.1386240000000001</v>
      </c>
      <c r="BB345" s="168">
        <f>(AS345*365)*(AT345*0.67*0.8*1)</f>
        <v>8.1386240000000001</v>
      </c>
      <c r="BC345" s="168">
        <f>(AS345*365)*(AT345*0.67*0.3*1)</f>
        <v>3.0519840000000005</v>
      </c>
      <c r="BD345" s="170"/>
      <c r="BE345" s="168">
        <f>(AS345*365)*(AT345*0.67*0.8*1)</f>
        <v>8.1386240000000001</v>
      </c>
      <c r="BF345" s="168">
        <f t="shared" si="598"/>
        <v>10.173280000000002</v>
      </c>
      <c r="BG345" s="169">
        <f t="shared" si="599"/>
        <v>2.5041920000000002</v>
      </c>
      <c r="BH345" s="168">
        <f t="shared" si="599"/>
        <v>1.017328</v>
      </c>
      <c r="BI345" s="168">
        <f t="shared" si="600"/>
        <v>5.0866400000000006E-2</v>
      </c>
      <c r="BJ345" s="168">
        <f>(AS345*365)*(AT345*0.67*0.015*1)</f>
        <v>0.15259920000000002</v>
      </c>
      <c r="BK345" s="168">
        <v>0</v>
      </c>
      <c r="BL345" s="168">
        <v>0</v>
      </c>
      <c r="BM345" s="168">
        <f>(BA345*365)*(BB345*0.67*0.8*1)</f>
        <v>12958.645928000884</v>
      </c>
      <c r="BN345" s="168">
        <f t="shared" si="601"/>
        <v>16198.307410001104</v>
      </c>
      <c r="BO345" s="169">
        <f t="shared" si="602"/>
        <v>3987.2756701541184</v>
      </c>
      <c r="BP345" s="168">
        <f t="shared" si="602"/>
        <v>1619.8307410001105</v>
      </c>
      <c r="BQ345" s="168">
        <f>(BA345*365)*(BB345*0.67*0.015*1)</f>
        <v>242.97461115001653</v>
      </c>
      <c r="BR345" s="168">
        <v>0</v>
      </c>
      <c r="BS345" s="168">
        <v>0</v>
      </c>
      <c r="BT345" s="167">
        <f t="shared" si="603"/>
        <v>3.9010616000000002</v>
      </c>
      <c r="BU345" s="168"/>
      <c r="BV345" s="169"/>
      <c r="BW345" s="168"/>
      <c r="BX345" s="168"/>
      <c r="BY345" s="168"/>
      <c r="BZ345" s="168"/>
      <c r="CA345" s="167"/>
      <c r="CC345" s="117"/>
      <c r="CD345" s="118" t="str">
        <f t="shared" si="604"/>
        <v>Ovejas - Clima Cálido</v>
      </c>
      <c r="CE345" s="99" t="s">
        <v>628</v>
      </c>
      <c r="CF345" s="172">
        <f t="shared" si="606"/>
        <v>3.9010616000000002</v>
      </c>
      <c r="CG345" s="99" t="s">
        <v>577</v>
      </c>
      <c r="CH345" s="105">
        <v>0.2</v>
      </c>
      <c r="CI345" s="105">
        <v>0.5</v>
      </c>
      <c r="CJ345" s="104" t="s">
        <v>385</v>
      </c>
      <c r="CK345" s="172">
        <f t="shared" si="605"/>
        <v>0.33822360000000001</v>
      </c>
      <c r="CL345" s="99" t="s">
        <v>629</v>
      </c>
      <c r="CM345" s="105">
        <v>0.2</v>
      </c>
      <c r="CN345" s="105">
        <v>0.5</v>
      </c>
      <c r="CO345" s="104" t="s">
        <v>385</v>
      </c>
      <c r="CP345" s="48"/>
      <c r="CQ345" s="103">
        <v>5.25</v>
      </c>
      <c r="CR345" s="99" t="s">
        <v>574</v>
      </c>
      <c r="CS345" s="48"/>
      <c r="CT345" s="103">
        <v>112.388571428571</v>
      </c>
      <c r="CU345" s="99" t="s">
        <v>574</v>
      </c>
      <c r="CV345" s="46"/>
      <c r="CW345" s="48"/>
      <c r="CX345" s="46"/>
      <c r="CY345" s="46"/>
      <c r="CZ345" s="48"/>
      <c r="DA345" s="48"/>
      <c r="DB345" s="48"/>
      <c r="DC345" s="48"/>
      <c r="DD345" s="46"/>
      <c r="DE345" s="46"/>
      <c r="DF345" s="48"/>
      <c r="DG345" s="48"/>
      <c r="DH345" s="48"/>
      <c r="DI345" s="49"/>
      <c r="DJ345" s="50">
        <v>0.2</v>
      </c>
      <c r="DK345" s="50">
        <v>0.25</v>
      </c>
      <c r="DS345" s="37" t="s">
        <v>644</v>
      </c>
      <c r="DT345" s="37">
        <v>0.21</v>
      </c>
      <c r="DU345" s="78">
        <f t="shared" si="607"/>
        <v>4.41</v>
      </c>
      <c r="DV345" s="78">
        <f t="shared" si="608"/>
        <v>5.25</v>
      </c>
      <c r="DW345" s="37">
        <v>12</v>
      </c>
      <c r="DX345" s="37">
        <v>1</v>
      </c>
      <c r="DY345" s="78">
        <f t="shared" si="609"/>
        <v>12</v>
      </c>
      <c r="DZ345" s="37">
        <v>0.02</v>
      </c>
      <c r="EA345" s="176">
        <f t="shared" si="610"/>
        <v>0.37714285714285711</v>
      </c>
      <c r="EB345" s="176">
        <f t="shared" si="611"/>
        <v>116.91428571428571</v>
      </c>
      <c r="EC345" s="176">
        <f t="shared" si="612"/>
        <v>112.38857142857142</v>
      </c>
      <c r="ED345" s="177">
        <f t="shared" si="613"/>
        <v>121.32428571428571</v>
      </c>
      <c r="EE345" s="177">
        <f t="shared" si="613"/>
        <v>117.63857142857142</v>
      </c>
      <c r="EF345" s="49" t="s">
        <v>628</v>
      </c>
      <c r="EG345" s="37" t="s">
        <v>631</v>
      </c>
    </row>
    <row r="346" spans="17:137" s="37" customFormat="1" ht="28.15" hidden="1" thickBot="1">
      <c r="Q346" s="127" t="s">
        <v>645</v>
      </c>
      <c r="S346" s="150">
        <v>1.57</v>
      </c>
      <c r="T346" s="150">
        <v>28</v>
      </c>
      <c r="U346" s="153">
        <f t="shared" si="595"/>
        <v>0</v>
      </c>
      <c r="V346" s="153">
        <f t="shared" si="595"/>
        <v>0</v>
      </c>
      <c r="W346" s="153">
        <f t="shared" si="595"/>
        <v>0.12607100000000002</v>
      </c>
      <c r="X346" s="152">
        <f t="shared" si="595"/>
        <v>0.50428400000000007</v>
      </c>
      <c r="Y346" s="153">
        <f t="shared" si="595"/>
        <v>0.12607100000000002</v>
      </c>
      <c r="Z346" s="153">
        <f t="shared" si="595"/>
        <v>0</v>
      </c>
      <c r="AA346" s="153">
        <f t="shared" si="595"/>
        <v>0.25214200000000003</v>
      </c>
      <c r="AB346" s="156">
        <f t="shared" si="595"/>
        <v>1.7649940000000004</v>
      </c>
      <c r="AC346" s="153">
        <f t="shared" si="595"/>
        <v>1.7649940000000004</v>
      </c>
      <c r="AD346" s="153">
        <f t="shared" si="595"/>
        <v>0</v>
      </c>
      <c r="AE346" s="153">
        <f t="shared" si="595"/>
        <v>0</v>
      </c>
      <c r="AF346" s="153">
        <f t="shared" si="595"/>
        <v>0.15128520000000001</v>
      </c>
      <c r="AG346" s="153">
        <f t="shared" si="595"/>
        <v>0</v>
      </c>
      <c r="AH346" s="153">
        <f t="shared" si="595"/>
        <v>2.52142</v>
      </c>
      <c r="AI346" s="153">
        <v>0</v>
      </c>
      <c r="AJ346" s="160">
        <f t="shared" si="595"/>
        <v>0.25214200000000003</v>
      </c>
      <c r="AK346" s="153">
        <f t="shared" si="596"/>
        <v>0.25214200000000003</v>
      </c>
      <c r="AL346" s="163">
        <f t="shared" si="597"/>
        <v>0.45385560000000008</v>
      </c>
      <c r="AM346" s="36">
        <v>1</v>
      </c>
      <c r="AN346" s="36">
        <v>12</v>
      </c>
      <c r="AP346" s="36">
        <v>8</v>
      </c>
      <c r="AQ346" s="165">
        <v>0.3</v>
      </c>
      <c r="AR346" s="164">
        <v>0.3</v>
      </c>
      <c r="AS346" s="166">
        <v>0.3</v>
      </c>
      <c r="AT346" s="166">
        <v>0.28999999999999998</v>
      </c>
      <c r="AU346" s="168">
        <f>(AS346*365)*(AT346*0.67*0.01*1)</f>
        <v>0.21275850000000002</v>
      </c>
      <c r="AV346" s="168">
        <f>(AS346*365)*(AT346*0.67*0.001*1)</f>
        <v>2.1275850000000002E-2</v>
      </c>
      <c r="AW346" s="170"/>
      <c r="AX346" s="168">
        <f>(AS346*365)*(AT346*0.67*0.02*1)</f>
        <v>0.42551700000000003</v>
      </c>
      <c r="AY346" s="168">
        <f>(AS346*365)*(AT346*0.67*0.01*1)</f>
        <v>0.21275850000000002</v>
      </c>
      <c r="AZ346" s="169">
        <f>(AR346*365)*(AS346*0.67*0.25*1)</f>
        <v>5.5023750000000007</v>
      </c>
      <c r="BA346" s="168">
        <f>(AS346*365)*(AT346*0.67*0.25*1)</f>
        <v>5.3189624999999996</v>
      </c>
      <c r="BB346" s="168">
        <f>(AS346*365)*(AT346*0.67*0.73*1)</f>
        <v>15.5313705</v>
      </c>
      <c r="BC346" s="168">
        <f>(AS346*365)*(AT346*0.67*0.03*1)</f>
        <v>0.6382755</v>
      </c>
      <c r="BD346" s="170"/>
      <c r="BE346" s="168">
        <f>(AS346*365)*(AT346*0.67*0.25*1)</f>
        <v>5.3189624999999996</v>
      </c>
      <c r="BF346" s="168">
        <f t="shared" si="598"/>
        <v>21.275849999999998</v>
      </c>
      <c r="BG346" s="169">
        <f t="shared" si="599"/>
        <v>2.2009500000000002</v>
      </c>
      <c r="BH346" s="168">
        <f t="shared" si="599"/>
        <v>2.1275850000000003</v>
      </c>
      <c r="BI346" s="168">
        <f t="shared" si="600"/>
        <v>0.10637925000000001</v>
      </c>
      <c r="BJ346" s="168">
        <f>(AS346*365)*(AT346*0.67*0.005*1)</f>
        <v>0.10637925000000001</v>
      </c>
      <c r="BK346" s="168">
        <v>0</v>
      </c>
      <c r="BL346" s="168">
        <v>0</v>
      </c>
      <c r="BM346" s="168">
        <f>(BA346*365)*(BB346*0.67*0.25*1)</f>
        <v>5050.6163949231577</v>
      </c>
      <c r="BN346" s="168">
        <f t="shared" si="601"/>
        <v>20202.465579692631</v>
      </c>
      <c r="BO346" s="169">
        <f t="shared" si="602"/>
        <v>715.7226823226016</v>
      </c>
      <c r="BP346" s="168">
        <f t="shared" si="602"/>
        <v>2020.2465579692634</v>
      </c>
      <c r="BQ346" s="168">
        <f>(BA346*365)*(BB346*0.67*0.005*1)</f>
        <v>101.01232789846317</v>
      </c>
      <c r="BR346" s="168">
        <v>0</v>
      </c>
      <c r="BS346" s="168">
        <v>0</v>
      </c>
      <c r="BT346" s="167">
        <f t="shared" si="603"/>
        <v>3.6874624593750003</v>
      </c>
      <c r="BU346" s="168"/>
      <c r="BV346" s="169"/>
      <c r="BW346" s="168"/>
      <c r="BX346" s="168"/>
      <c r="BY346" s="168"/>
      <c r="BZ346" s="168"/>
      <c r="CA346" s="167"/>
      <c r="CC346" s="117"/>
      <c r="CD346" s="118" t="str">
        <f t="shared" si="604"/>
        <v>Porcinos de carne - Clima Frío</v>
      </c>
      <c r="CE346" s="99" t="s">
        <v>628</v>
      </c>
      <c r="CF346" s="172">
        <f t="shared" si="606"/>
        <v>3.6874624593750003</v>
      </c>
      <c r="CG346" s="99" t="s">
        <v>577</v>
      </c>
      <c r="CH346" s="105">
        <v>0.2</v>
      </c>
      <c r="CI346" s="105">
        <v>0.5</v>
      </c>
      <c r="CJ346" s="104" t="s">
        <v>385</v>
      </c>
      <c r="CK346" s="172">
        <f t="shared" si="605"/>
        <v>0.45385560000000008</v>
      </c>
      <c r="CL346" s="99" t="s">
        <v>629</v>
      </c>
      <c r="CM346" s="105">
        <v>0.2</v>
      </c>
      <c r="CN346" s="105">
        <v>0.5</v>
      </c>
      <c r="CO346" s="104" t="s">
        <v>385</v>
      </c>
      <c r="CP346" s="48"/>
      <c r="CQ346" s="103">
        <v>0</v>
      </c>
      <c r="CR346" s="99" t="s">
        <v>574</v>
      </c>
      <c r="CS346" s="48"/>
      <c r="CT346" s="103">
        <v>76.4242285714286</v>
      </c>
      <c r="CU346" s="99" t="s">
        <v>574</v>
      </c>
      <c r="CV346" s="46"/>
      <c r="CW346" s="48"/>
      <c r="CX346" s="46"/>
      <c r="CY346" s="46"/>
      <c r="CZ346" s="48"/>
      <c r="DA346" s="48"/>
      <c r="DB346" s="48"/>
      <c r="DC346" s="48"/>
      <c r="DD346" s="46"/>
      <c r="DE346" s="46"/>
      <c r="DF346" s="48"/>
      <c r="DG346" s="48"/>
      <c r="DH346" s="48"/>
      <c r="DI346" s="49"/>
      <c r="DJ346" s="50">
        <v>0.2</v>
      </c>
      <c r="DK346" s="50">
        <v>0.1</v>
      </c>
      <c r="DS346" s="37" t="s">
        <v>646</v>
      </c>
      <c r="DT346" s="37">
        <v>0</v>
      </c>
      <c r="DU346" s="78">
        <f t="shared" si="607"/>
        <v>0</v>
      </c>
      <c r="DV346" s="78">
        <f t="shared" si="608"/>
        <v>0</v>
      </c>
      <c r="DW346" s="37">
        <v>16</v>
      </c>
      <c r="DX346" s="37">
        <v>0.51</v>
      </c>
      <c r="DY346" s="78">
        <f t="shared" si="609"/>
        <v>8.16</v>
      </c>
      <c r="DZ346" s="37">
        <v>0.02</v>
      </c>
      <c r="EA346" s="176">
        <f t="shared" si="610"/>
        <v>0.25645714285714288</v>
      </c>
      <c r="EB346" s="176">
        <f t="shared" si="611"/>
        <v>79.5017142857143</v>
      </c>
      <c r="EC346" s="176">
        <f t="shared" si="612"/>
        <v>76.424228571428586</v>
      </c>
      <c r="ED346" s="177">
        <f t="shared" si="613"/>
        <v>79.5017142857143</v>
      </c>
      <c r="EE346" s="177">
        <f t="shared" si="613"/>
        <v>76.424228571428586</v>
      </c>
      <c r="EF346" s="49" t="s">
        <v>628</v>
      </c>
      <c r="EG346" s="37" t="s">
        <v>631</v>
      </c>
    </row>
    <row r="347" spans="17:137" s="37" customFormat="1" ht="28.15" hidden="1" thickBot="1">
      <c r="Q347" s="127" t="s">
        <v>647</v>
      </c>
      <c r="S347" s="150">
        <v>1.57</v>
      </c>
      <c r="T347" s="150">
        <v>28</v>
      </c>
      <c r="U347" s="153">
        <f t="shared" si="595"/>
        <v>0</v>
      </c>
      <c r="V347" s="153">
        <f t="shared" si="595"/>
        <v>0</v>
      </c>
      <c r="W347" s="153">
        <f t="shared" si="595"/>
        <v>0.12607100000000002</v>
      </c>
      <c r="X347" s="152">
        <f t="shared" si="595"/>
        <v>0.50428400000000007</v>
      </c>
      <c r="Y347" s="153">
        <f t="shared" si="595"/>
        <v>0.12607100000000002</v>
      </c>
      <c r="Z347" s="153">
        <f t="shared" si="595"/>
        <v>0</v>
      </c>
      <c r="AA347" s="153">
        <f t="shared" si="595"/>
        <v>0.25214200000000003</v>
      </c>
      <c r="AB347" s="156">
        <f t="shared" si="595"/>
        <v>1.7649940000000004</v>
      </c>
      <c r="AC347" s="153">
        <f t="shared" si="595"/>
        <v>1.7649940000000004</v>
      </c>
      <c r="AD347" s="153">
        <f t="shared" si="595"/>
        <v>0</v>
      </c>
      <c r="AE347" s="153">
        <f t="shared" si="595"/>
        <v>0</v>
      </c>
      <c r="AF347" s="153">
        <f t="shared" si="595"/>
        <v>0.15128520000000001</v>
      </c>
      <c r="AG347" s="153">
        <f t="shared" si="595"/>
        <v>0</v>
      </c>
      <c r="AH347" s="153">
        <f t="shared" si="595"/>
        <v>2.52142</v>
      </c>
      <c r="AI347" s="153">
        <v>0</v>
      </c>
      <c r="AJ347" s="160">
        <f t="shared" si="595"/>
        <v>0.25214200000000003</v>
      </c>
      <c r="AK347" s="153">
        <f t="shared" si="596"/>
        <v>0.25214200000000003</v>
      </c>
      <c r="AL347" s="163">
        <f t="shared" si="597"/>
        <v>0.45385560000000008</v>
      </c>
      <c r="AM347" s="36">
        <v>1</v>
      </c>
      <c r="AN347" s="36">
        <v>20</v>
      </c>
      <c r="AP347" s="36">
        <v>18</v>
      </c>
      <c r="AQ347" s="165">
        <v>0.3</v>
      </c>
      <c r="AR347" s="164">
        <v>0.3</v>
      </c>
      <c r="AS347" s="166">
        <v>0.3</v>
      </c>
      <c r="AT347" s="166">
        <v>0.28999999999999998</v>
      </c>
      <c r="AU347" s="168">
        <f>(AS347*365)*(AT347*0.67*0.015*1)</f>
        <v>0.31913775</v>
      </c>
      <c r="AV347" s="168">
        <f>(AS347*365)*(AT347*0.67*0.005*1)</f>
        <v>0.10637925000000001</v>
      </c>
      <c r="AW347" s="170"/>
      <c r="AX347" s="168">
        <f>(AS347*365)*(AT347*0.67*0.04*1)</f>
        <v>0.85103400000000007</v>
      </c>
      <c r="AY347" s="168">
        <f>(AS347*365)*(AT347*0.67*0.015*1)</f>
        <v>0.31913775</v>
      </c>
      <c r="AZ347" s="169">
        <f>(AR347*365)*(AS347*0.67*0.65*1)</f>
        <v>14.306175000000001</v>
      </c>
      <c r="BA347" s="168">
        <f>(AS347*365)*(AT347*0.67*0.65*1)</f>
        <v>13.829302500000002</v>
      </c>
      <c r="BB347" s="168">
        <f>(AS347*365)*(AT347*0.67*0.79*1)</f>
        <v>16.807921499999999</v>
      </c>
      <c r="BC347" s="168">
        <f>(AS347*365)*(AT347*0.67*0.03*1)</f>
        <v>0.6382755</v>
      </c>
      <c r="BD347" s="170"/>
      <c r="BE347" s="168">
        <f>(AS347*365)*(AT347*0.67*0.65*1)</f>
        <v>13.829302500000002</v>
      </c>
      <c r="BF347" s="168">
        <f t="shared" si="598"/>
        <v>21.275849999999998</v>
      </c>
      <c r="BG347" s="169">
        <f t="shared" si="599"/>
        <v>2.2009500000000002</v>
      </c>
      <c r="BH347" s="168">
        <f t="shared" si="599"/>
        <v>2.1275850000000003</v>
      </c>
      <c r="BI347" s="168">
        <f t="shared" si="600"/>
        <v>0.10637925000000001</v>
      </c>
      <c r="BJ347" s="168">
        <f>(AS347*365)*(AT347*0.67*0.01*1)</f>
        <v>0.21275850000000002</v>
      </c>
      <c r="BK347" s="168">
        <v>0</v>
      </c>
      <c r="BL347" s="168">
        <v>0</v>
      </c>
      <c r="BM347" s="168">
        <f>(BA347*365)*(BB347*0.67*0.65*1)</f>
        <v>36948.372322531017</v>
      </c>
      <c r="BN347" s="168">
        <f t="shared" si="601"/>
        <v>56843.649726970791</v>
      </c>
      <c r="BO347" s="169">
        <f t="shared" si="602"/>
        <v>4838.2853325007882</v>
      </c>
      <c r="BP347" s="168">
        <f t="shared" si="602"/>
        <v>5684.3649726970798</v>
      </c>
      <c r="BQ347" s="168">
        <f>(BA347*365)*(BB347*0.67*0.01*1)</f>
        <v>568.43649726970796</v>
      </c>
      <c r="BR347" s="168">
        <v>0</v>
      </c>
      <c r="BS347" s="168">
        <v>0</v>
      </c>
      <c r="BT347" s="167">
        <f t="shared" si="603"/>
        <v>5.4331367812500009</v>
      </c>
      <c r="BU347" s="168"/>
      <c r="BV347" s="169"/>
      <c r="BW347" s="168"/>
      <c r="BX347" s="168"/>
      <c r="BY347" s="168"/>
      <c r="BZ347" s="168"/>
      <c r="CA347" s="167"/>
      <c r="CC347" s="117"/>
      <c r="CD347" s="118" t="str">
        <f t="shared" si="604"/>
        <v>Porcinos de carne - Clima Templado</v>
      </c>
      <c r="CE347" s="99" t="s">
        <v>628</v>
      </c>
      <c r="CF347" s="172">
        <f t="shared" si="606"/>
        <v>5.4331367812500009</v>
      </c>
      <c r="CG347" s="99" t="s">
        <v>577</v>
      </c>
      <c r="CH347" s="105">
        <v>0.2</v>
      </c>
      <c r="CI347" s="105">
        <v>0.5</v>
      </c>
      <c r="CJ347" s="104" t="s">
        <v>385</v>
      </c>
      <c r="CK347" s="172">
        <f t="shared" si="605"/>
        <v>0.45385560000000008</v>
      </c>
      <c r="CL347" s="99" t="s">
        <v>629</v>
      </c>
      <c r="CM347" s="105">
        <v>0.2</v>
      </c>
      <c r="CN347" s="105">
        <v>0.5</v>
      </c>
      <c r="CO347" s="104" t="s">
        <v>385</v>
      </c>
      <c r="CP347" s="48"/>
      <c r="CQ347" s="103">
        <v>25</v>
      </c>
      <c r="CR347" s="99" t="s">
        <v>574</v>
      </c>
      <c r="CS347" s="48"/>
      <c r="CT347" s="103">
        <v>76.4242285714286</v>
      </c>
      <c r="CU347" s="99" t="s">
        <v>574</v>
      </c>
      <c r="CV347" s="48"/>
      <c r="CW347" s="48"/>
      <c r="CX347" s="46"/>
      <c r="CY347" s="46"/>
      <c r="CZ347" s="48"/>
      <c r="DA347" s="48"/>
      <c r="DB347" s="48"/>
      <c r="DC347" s="48"/>
      <c r="DD347" s="46"/>
      <c r="DE347" s="46"/>
      <c r="DF347" s="48"/>
      <c r="DG347" s="48"/>
      <c r="DH347" s="48"/>
      <c r="DI347" s="49"/>
      <c r="DJ347" s="50">
        <v>0.2</v>
      </c>
      <c r="DK347" s="50">
        <v>0.1</v>
      </c>
      <c r="DS347" s="37" t="s">
        <v>648</v>
      </c>
      <c r="DT347" s="37">
        <v>1</v>
      </c>
      <c r="DU347" s="78">
        <f t="shared" si="607"/>
        <v>21</v>
      </c>
      <c r="DV347" s="78">
        <f t="shared" si="608"/>
        <v>25</v>
      </c>
      <c r="DW347" s="37">
        <v>16</v>
      </c>
      <c r="DX347" s="37">
        <v>0.51</v>
      </c>
      <c r="DY347" s="78">
        <f t="shared" si="609"/>
        <v>8.16</v>
      </c>
      <c r="DZ347" s="37">
        <v>0.02</v>
      </c>
      <c r="EA347" s="176">
        <f t="shared" si="610"/>
        <v>0.25645714285714288</v>
      </c>
      <c r="EB347" s="176">
        <f t="shared" si="611"/>
        <v>79.5017142857143</v>
      </c>
      <c r="EC347" s="176">
        <f t="shared" si="612"/>
        <v>76.424228571428586</v>
      </c>
      <c r="ED347" s="177">
        <f t="shared" si="613"/>
        <v>100.5017142857143</v>
      </c>
      <c r="EE347" s="177">
        <f t="shared" si="613"/>
        <v>101.42422857142859</v>
      </c>
      <c r="EF347" s="49" t="s">
        <v>628</v>
      </c>
      <c r="EG347" s="37" t="s">
        <v>631</v>
      </c>
    </row>
    <row r="348" spans="17:137" s="37" customFormat="1" ht="28.15" hidden="1" thickBot="1">
      <c r="Q348" s="127" t="s">
        <v>649</v>
      </c>
      <c r="S348" s="150">
        <v>1.57</v>
      </c>
      <c r="T348" s="150">
        <v>28</v>
      </c>
      <c r="U348" s="153">
        <f t="shared" si="595"/>
        <v>0</v>
      </c>
      <c r="V348" s="153">
        <f t="shared" si="595"/>
        <v>0</v>
      </c>
      <c r="W348" s="153">
        <f t="shared" si="595"/>
        <v>0.12607100000000002</v>
      </c>
      <c r="X348" s="152">
        <f t="shared" si="595"/>
        <v>0.50428400000000007</v>
      </c>
      <c r="Y348" s="153">
        <f t="shared" si="595"/>
        <v>0.12607100000000002</v>
      </c>
      <c r="Z348" s="153">
        <f t="shared" si="595"/>
        <v>0</v>
      </c>
      <c r="AA348" s="153">
        <f t="shared" si="595"/>
        <v>0.25214200000000003</v>
      </c>
      <c r="AB348" s="156">
        <f t="shared" si="595"/>
        <v>1.7649940000000004</v>
      </c>
      <c r="AC348" s="153">
        <f t="shared" si="595"/>
        <v>1.7649940000000004</v>
      </c>
      <c r="AD348" s="153">
        <f t="shared" si="595"/>
        <v>0</v>
      </c>
      <c r="AE348" s="153">
        <f t="shared" si="595"/>
        <v>0</v>
      </c>
      <c r="AF348" s="153">
        <f t="shared" si="595"/>
        <v>0.15128520000000001</v>
      </c>
      <c r="AG348" s="153">
        <f t="shared" si="595"/>
        <v>0</v>
      </c>
      <c r="AH348" s="153">
        <f t="shared" si="595"/>
        <v>2.52142</v>
      </c>
      <c r="AI348" s="153">
        <v>0</v>
      </c>
      <c r="AJ348" s="160">
        <f t="shared" si="595"/>
        <v>0.25214200000000003</v>
      </c>
      <c r="AK348" s="153">
        <f t="shared" si="596"/>
        <v>0.25214200000000003</v>
      </c>
      <c r="AL348" s="163">
        <f t="shared" si="597"/>
        <v>0.45385560000000008</v>
      </c>
      <c r="AM348" s="36">
        <v>2</v>
      </c>
      <c r="AN348" s="36">
        <v>23</v>
      </c>
      <c r="AP348" s="36">
        <v>21</v>
      </c>
      <c r="AQ348" s="165">
        <v>0.3</v>
      </c>
      <c r="AR348" s="164">
        <v>0.3</v>
      </c>
      <c r="AS348" s="166">
        <v>0.3</v>
      </c>
      <c r="AT348" s="166">
        <v>0.28999999999999998</v>
      </c>
      <c r="AU348" s="168">
        <f>(AS348*365)*(AT348*0.67*0.02*1)</f>
        <v>0.42551700000000003</v>
      </c>
      <c r="AV348" s="168">
        <f>(AS348*365)*(AT348*0.67*0.01*1)</f>
        <v>0.21275850000000002</v>
      </c>
      <c r="AW348" s="170"/>
      <c r="AX348" s="168">
        <f>(AS348*365)*(AT348*0.67*0.05*1)</f>
        <v>1.0637925000000001</v>
      </c>
      <c r="AY348" s="168">
        <f>(AS348*365)*(AT348*0.67*0.02*1)</f>
        <v>0.42551700000000003</v>
      </c>
      <c r="AZ348" s="169">
        <f>(AR348*365)*(AS348*0.67*0.8*1)</f>
        <v>17.607600000000001</v>
      </c>
      <c r="BA348" s="168">
        <f>(AS348*365)*(AT348*0.67*0.8*1)</f>
        <v>17.020680000000002</v>
      </c>
      <c r="BB348" s="168">
        <f>(AS348*365)*(AT348*0.67*0.8*1)</f>
        <v>17.020680000000002</v>
      </c>
      <c r="BC348" s="168">
        <f>(AS348*365)*(AT348*0.67*0.3*1)</f>
        <v>6.3827549999999995</v>
      </c>
      <c r="BD348" s="170"/>
      <c r="BE348" s="168">
        <f>(AS348*365)*(AT348*0.67*0.8*1)</f>
        <v>17.020680000000002</v>
      </c>
      <c r="BF348" s="168">
        <f t="shared" si="598"/>
        <v>21.275849999999998</v>
      </c>
      <c r="BG348" s="169">
        <f t="shared" si="599"/>
        <v>2.2009500000000002</v>
      </c>
      <c r="BH348" s="168">
        <f t="shared" si="599"/>
        <v>2.1275850000000003</v>
      </c>
      <c r="BI348" s="168">
        <f t="shared" si="600"/>
        <v>0.10637925000000001</v>
      </c>
      <c r="BJ348" s="168">
        <f>(AS348*365)*(AT348*0.67*0.015*1)</f>
        <v>0.31913775</v>
      </c>
      <c r="BK348" s="168">
        <v>0</v>
      </c>
      <c r="BL348" s="168">
        <v>0</v>
      </c>
      <c r="BM348" s="168">
        <f>(BA348*365)*(BB348*0.67*0.8*1)</f>
        <v>56677.602064671955</v>
      </c>
      <c r="BN348" s="168">
        <f t="shared" si="601"/>
        <v>70847.002580839937</v>
      </c>
      <c r="BO348" s="169">
        <f t="shared" si="602"/>
        <v>7329.0002669834412</v>
      </c>
      <c r="BP348" s="168">
        <f t="shared" si="602"/>
        <v>7084.7002580839944</v>
      </c>
      <c r="BQ348" s="168">
        <f>(BA348*365)*(BB348*0.67*0.015*1)</f>
        <v>1062.7050387125992</v>
      </c>
      <c r="BR348" s="168">
        <v>0</v>
      </c>
      <c r="BS348" s="168">
        <v>0</v>
      </c>
      <c r="BT348" s="167">
        <f t="shared" si="603"/>
        <v>6.4506176249999996</v>
      </c>
      <c r="BU348" s="168"/>
      <c r="BV348" s="169"/>
      <c r="BW348" s="168"/>
      <c r="BX348" s="168"/>
      <c r="BY348" s="168"/>
      <c r="BZ348" s="168"/>
      <c r="CA348" s="167"/>
      <c r="CC348" s="117"/>
      <c r="CD348" s="118" t="str">
        <f t="shared" si="604"/>
        <v>Porcinos de carne - Clima Cálido</v>
      </c>
      <c r="CE348" s="99" t="s">
        <v>628</v>
      </c>
      <c r="CF348" s="172">
        <f t="shared" si="606"/>
        <v>6.4506176249999996</v>
      </c>
      <c r="CG348" s="99" t="s">
        <v>577</v>
      </c>
      <c r="CH348" s="105">
        <v>0.2</v>
      </c>
      <c r="CI348" s="105">
        <v>0.5</v>
      </c>
      <c r="CJ348" s="104" t="s">
        <v>385</v>
      </c>
      <c r="CK348" s="172">
        <f t="shared" si="605"/>
        <v>0.45385560000000008</v>
      </c>
      <c r="CL348" s="99" t="s">
        <v>629</v>
      </c>
      <c r="CM348" s="105">
        <v>0.2</v>
      </c>
      <c r="CN348" s="105">
        <v>0.5</v>
      </c>
      <c r="CO348" s="104" t="s">
        <v>385</v>
      </c>
      <c r="CP348" s="48"/>
      <c r="CQ348" s="103">
        <v>50</v>
      </c>
      <c r="CR348" s="99" t="s">
        <v>574</v>
      </c>
      <c r="CS348" s="48"/>
      <c r="CT348" s="103">
        <v>76.4242285714286</v>
      </c>
      <c r="CU348" s="99" t="s">
        <v>574</v>
      </c>
      <c r="CV348" s="48"/>
      <c r="CW348" s="48"/>
      <c r="CX348" s="46"/>
      <c r="CY348" s="46"/>
      <c r="CZ348" s="48"/>
      <c r="DA348" s="48"/>
      <c r="DB348" s="48"/>
      <c r="DC348" s="48"/>
      <c r="DD348" s="46"/>
      <c r="DE348" s="46"/>
      <c r="DF348" s="48"/>
      <c r="DG348" s="48"/>
      <c r="DH348" s="48"/>
      <c r="DI348" s="49"/>
      <c r="DJ348" s="50">
        <v>0.2</v>
      </c>
      <c r="DK348" s="50">
        <v>0.1</v>
      </c>
      <c r="DS348" s="37" t="s">
        <v>650</v>
      </c>
      <c r="DT348" s="37">
        <v>2</v>
      </c>
      <c r="DU348" s="78">
        <f t="shared" si="607"/>
        <v>42</v>
      </c>
      <c r="DV348" s="78">
        <f t="shared" si="608"/>
        <v>50</v>
      </c>
      <c r="DW348" s="37">
        <v>16</v>
      </c>
      <c r="DX348" s="37">
        <v>0.51</v>
      </c>
      <c r="DY348" s="78">
        <f t="shared" si="609"/>
        <v>8.16</v>
      </c>
      <c r="DZ348" s="37">
        <v>0.02</v>
      </c>
      <c r="EA348" s="176">
        <f t="shared" si="610"/>
        <v>0.25645714285714288</v>
      </c>
      <c r="EB348" s="176">
        <f t="shared" si="611"/>
        <v>79.5017142857143</v>
      </c>
      <c r="EC348" s="176">
        <f t="shared" si="612"/>
        <v>76.424228571428586</v>
      </c>
      <c r="ED348" s="177">
        <f t="shared" si="613"/>
        <v>121.5017142857143</v>
      </c>
      <c r="EE348" s="177">
        <f t="shared" si="613"/>
        <v>126.42422857142859</v>
      </c>
      <c r="EF348" s="49" t="s">
        <v>628</v>
      </c>
      <c r="EG348" s="37" t="s">
        <v>631</v>
      </c>
    </row>
    <row r="349" spans="17:137" s="37" customFormat="1" ht="18.75" hidden="1" customHeight="1" thickBot="1">
      <c r="Q349" s="127" t="s">
        <v>651</v>
      </c>
      <c r="S349" s="150">
        <v>0.55000000000000004</v>
      </c>
      <c r="T349" s="150">
        <v>28</v>
      </c>
      <c r="U349" s="153">
        <f t="shared" si="595"/>
        <v>0</v>
      </c>
      <c r="V349" s="153">
        <f t="shared" si="595"/>
        <v>0</v>
      </c>
      <c r="W349" s="153">
        <f t="shared" si="595"/>
        <v>4.4165000000000003E-2</v>
      </c>
      <c r="X349" s="152">
        <f t="shared" si="595"/>
        <v>0.17666000000000001</v>
      </c>
      <c r="Y349" s="153">
        <f t="shared" si="595"/>
        <v>4.4165000000000003E-2</v>
      </c>
      <c r="Z349" s="153">
        <f t="shared" si="595"/>
        <v>0</v>
      </c>
      <c r="AA349" s="153">
        <f t="shared" si="595"/>
        <v>8.8330000000000006E-2</v>
      </c>
      <c r="AB349" s="156">
        <f t="shared" si="595"/>
        <v>0.61831000000000003</v>
      </c>
      <c r="AC349" s="153">
        <f t="shared" si="595"/>
        <v>0.61831000000000003</v>
      </c>
      <c r="AD349" s="153">
        <f t="shared" si="595"/>
        <v>0</v>
      </c>
      <c r="AE349" s="153">
        <f t="shared" si="595"/>
        <v>0</v>
      </c>
      <c r="AF349" s="153">
        <f t="shared" si="595"/>
        <v>5.299800000000001E-2</v>
      </c>
      <c r="AG349" s="153">
        <f t="shared" si="595"/>
        <v>0</v>
      </c>
      <c r="AH349" s="153">
        <f t="shared" si="595"/>
        <v>0.88330000000000009</v>
      </c>
      <c r="AI349" s="153">
        <v>0</v>
      </c>
      <c r="AJ349" s="160">
        <f t="shared" si="595"/>
        <v>8.8330000000000006E-2</v>
      </c>
      <c r="AK349" s="153">
        <f t="shared" si="596"/>
        <v>8.8330000000000006E-2</v>
      </c>
      <c r="AL349" s="163">
        <f t="shared" si="597"/>
        <v>0.15899400000000002</v>
      </c>
      <c r="AM349" s="36">
        <v>1</v>
      </c>
      <c r="AN349" s="36">
        <v>23</v>
      </c>
      <c r="AP349" s="36">
        <v>12</v>
      </c>
      <c r="AQ349" s="165">
        <v>0.3</v>
      </c>
      <c r="AR349" s="164">
        <v>0.3</v>
      </c>
      <c r="AS349" s="166">
        <v>0.3</v>
      </c>
      <c r="AT349" s="166">
        <v>0.28999999999999998</v>
      </c>
      <c r="AU349" s="168">
        <f>(AS349*365)*(AT349*0.67*0.01*1)</f>
        <v>0.21275850000000002</v>
      </c>
      <c r="AV349" s="168">
        <f>(AS349*365)*(AT349*0.67*0.001*1)</f>
        <v>2.1275850000000002E-2</v>
      </c>
      <c r="AW349" s="170"/>
      <c r="AX349" s="168">
        <f>(AS349*365)*(AT349*0.67*0.02*1)</f>
        <v>0.42551700000000003</v>
      </c>
      <c r="AY349" s="168">
        <f>(AS349*365)*(AT349*0.67*0.01*1)</f>
        <v>0.21275850000000002</v>
      </c>
      <c r="AZ349" s="169">
        <f>(AR349*365)*(AS349*0.67*0.25*1)</f>
        <v>5.5023750000000007</v>
      </c>
      <c r="BA349" s="168">
        <f>(AS349*365)*(AT349*0.67*0.25*1)</f>
        <v>5.3189624999999996</v>
      </c>
      <c r="BB349" s="168">
        <f>(AS349*365)*(AT349*0.67*0.73*1)</f>
        <v>15.5313705</v>
      </c>
      <c r="BC349" s="168">
        <f>(AS349*365)*(AT349*0.67*0.03*1)</f>
        <v>0.6382755</v>
      </c>
      <c r="BD349" s="170"/>
      <c r="BE349" s="168">
        <f>(AS349*365)*(AT349*0.67*0.25*1)</f>
        <v>5.3189624999999996</v>
      </c>
      <c r="BF349" s="168">
        <f t="shared" si="598"/>
        <v>21.275849999999998</v>
      </c>
      <c r="BG349" s="169">
        <f t="shared" si="599"/>
        <v>2.2009500000000002</v>
      </c>
      <c r="BH349" s="168">
        <f t="shared" si="599"/>
        <v>2.1275850000000003</v>
      </c>
      <c r="BI349" s="168">
        <f t="shared" si="600"/>
        <v>0.10637925000000001</v>
      </c>
      <c r="BJ349" s="168">
        <f>(AS349*365)*(AT349*0.67*0.005*1)</f>
        <v>0.10637925000000001</v>
      </c>
      <c r="BK349" s="168">
        <v>0</v>
      </c>
      <c r="BL349" s="168">
        <v>0</v>
      </c>
      <c r="BM349" s="168">
        <f>(BA349*365)*(BB349*0.67*0.25*1)</f>
        <v>5050.6163949231577</v>
      </c>
      <c r="BN349" s="168">
        <f t="shared" si="601"/>
        <v>20202.465579692631</v>
      </c>
      <c r="BO349" s="169">
        <f t="shared" si="602"/>
        <v>715.7226823226016</v>
      </c>
      <c r="BP349" s="168">
        <f t="shared" si="602"/>
        <v>2020.2465579692634</v>
      </c>
      <c r="BQ349" s="168">
        <f>(BA349*365)*(BB349*0.67*0.005*1)</f>
        <v>101.01232789846317</v>
      </c>
      <c r="BR349" s="168">
        <v>0</v>
      </c>
      <c r="BS349" s="168">
        <v>0</v>
      </c>
      <c r="BT349" s="167">
        <f t="shared" si="603"/>
        <v>3.6874624593750003</v>
      </c>
      <c r="BU349" s="168"/>
      <c r="BV349" s="169"/>
      <c r="BW349" s="168"/>
      <c r="BX349" s="168"/>
      <c r="BY349" s="168"/>
      <c r="BZ349" s="168"/>
      <c r="CA349" s="167"/>
      <c r="CC349" s="117"/>
      <c r="CD349" s="118" t="str">
        <f t="shared" si="604"/>
        <v>Porcinos de Cría - Clima Frío</v>
      </c>
      <c r="CE349" s="99" t="s">
        <v>628</v>
      </c>
      <c r="CF349" s="172">
        <f t="shared" si="606"/>
        <v>3.6874624593750003</v>
      </c>
      <c r="CG349" s="99" t="s">
        <v>577</v>
      </c>
      <c r="CH349" s="105">
        <v>0.2</v>
      </c>
      <c r="CI349" s="105">
        <v>0.5</v>
      </c>
      <c r="CJ349" s="104" t="s">
        <v>385</v>
      </c>
      <c r="CK349" s="172">
        <f t="shared" si="605"/>
        <v>0.15899400000000002</v>
      </c>
      <c r="CL349" s="99" t="s">
        <v>629</v>
      </c>
      <c r="CM349" s="105">
        <v>0.2</v>
      </c>
      <c r="CN349" s="105">
        <v>0.5</v>
      </c>
      <c r="CO349" s="104" t="s">
        <v>385</v>
      </c>
      <c r="CP349" s="48"/>
      <c r="CQ349" s="103">
        <v>0</v>
      </c>
      <c r="CR349" s="99" t="s">
        <v>574</v>
      </c>
      <c r="CS349" s="48"/>
      <c r="CT349" s="103">
        <v>14.9851428571429</v>
      </c>
      <c r="CU349" s="99" t="s">
        <v>574</v>
      </c>
      <c r="CV349" s="48"/>
      <c r="CW349" s="48"/>
      <c r="CX349" s="46"/>
      <c r="CY349" s="46"/>
      <c r="CZ349" s="48"/>
      <c r="DA349" s="48"/>
      <c r="DB349" s="48"/>
      <c r="DC349" s="48"/>
      <c r="DD349" s="46"/>
      <c r="DE349" s="46"/>
      <c r="DF349" s="48"/>
      <c r="DG349" s="48"/>
      <c r="DH349" s="48"/>
      <c r="DI349" s="49"/>
      <c r="DJ349" s="50">
        <v>0.2</v>
      </c>
      <c r="DK349" s="50">
        <v>0.1</v>
      </c>
      <c r="DS349" s="37" t="s">
        <v>652</v>
      </c>
      <c r="DT349" s="37">
        <v>0</v>
      </c>
      <c r="DU349" s="78">
        <f t="shared" si="607"/>
        <v>0</v>
      </c>
      <c r="DV349" s="78">
        <f t="shared" si="608"/>
        <v>0</v>
      </c>
      <c r="DW349" s="37">
        <v>16</v>
      </c>
      <c r="DX349" s="37">
        <v>0.4</v>
      </c>
      <c r="DY349" s="78">
        <f t="shared" si="609"/>
        <v>6.4</v>
      </c>
      <c r="DZ349" s="37">
        <v>5.0000000000000001E-3</v>
      </c>
      <c r="EA349" s="176">
        <f t="shared" si="610"/>
        <v>5.0285714285714281E-2</v>
      </c>
      <c r="EB349" s="176">
        <f t="shared" si="611"/>
        <v>15.588571428571427</v>
      </c>
      <c r="EC349" s="176">
        <f t="shared" si="612"/>
        <v>14.985142857142856</v>
      </c>
      <c r="ED349" s="177">
        <f t="shared" si="613"/>
        <v>15.588571428571427</v>
      </c>
      <c r="EE349" s="177">
        <f t="shared" si="613"/>
        <v>14.985142857142856</v>
      </c>
      <c r="EF349" s="49" t="s">
        <v>628</v>
      </c>
      <c r="EG349" s="37" t="s">
        <v>631</v>
      </c>
    </row>
    <row r="350" spans="17:137" s="37" customFormat="1" ht="28.15" hidden="1" thickBot="1">
      <c r="Q350" s="127" t="s">
        <v>653</v>
      </c>
      <c r="S350" s="150">
        <v>0.55000000000000004</v>
      </c>
      <c r="T350" s="150">
        <v>28</v>
      </c>
      <c r="U350" s="153">
        <f t="shared" si="595"/>
        <v>0</v>
      </c>
      <c r="V350" s="153">
        <f t="shared" si="595"/>
        <v>0</v>
      </c>
      <c r="W350" s="153">
        <f t="shared" si="595"/>
        <v>4.4165000000000003E-2</v>
      </c>
      <c r="X350" s="152">
        <f t="shared" si="595"/>
        <v>0.17666000000000001</v>
      </c>
      <c r="Y350" s="153">
        <f t="shared" si="595"/>
        <v>4.4165000000000003E-2</v>
      </c>
      <c r="Z350" s="153">
        <f t="shared" si="595"/>
        <v>0</v>
      </c>
      <c r="AA350" s="153">
        <f t="shared" si="595"/>
        <v>8.8330000000000006E-2</v>
      </c>
      <c r="AB350" s="156">
        <f t="shared" si="595"/>
        <v>0.61831000000000003</v>
      </c>
      <c r="AC350" s="153">
        <f t="shared" si="595"/>
        <v>0.61831000000000003</v>
      </c>
      <c r="AD350" s="153">
        <f t="shared" si="595"/>
        <v>0</v>
      </c>
      <c r="AE350" s="153">
        <f t="shared" si="595"/>
        <v>0</v>
      </c>
      <c r="AF350" s="153">
        <f t="shared" si="595"/>
        <v>5.299800000000001E-2</v>
      </c>
      <c r="AG350" s="153">
        <f t="shared" si="595"/>
        <v>0</v>
      </c>
      <c r="AH350" s="153">
        <f t="shared" si="595"/>
        <v>0.88330000000000009</v>
      </c>
      <c r="AI350" s="153">
        <v>0</v>
      </c>
      <c r="AJ350" s="160">
        <f t="shared" si="595"/>
        <v>8.8330000000000006E-2</v>
      </c>
      <c r="AK350" s="153">
        <f t="shared" ref="AJ350:AK357" si="614">((($S350*($T350/1000)*365)*1)*AK$330)*(44/28)</f>
        <v>8.8330000000000006E-2</v>
      </c>
      <c r="AL350" s="163">
        <f t="shared" si="597"/>
        <v>0.15899400000000002</v>
      </c>
      <c r="AM350" s="36">
        <v>1</v>
      </c>
      <c r="AN350" s="36">
        <v>39</v>
      </c>
      <c r="AP350" s="36">
        <v>27</v>
      </c>
      <c r="AQ350" s="165">
        <v>0.3</v>
      </c>
      <c r="AR350" s="164">
        <v>0.3</v>
      </c>
      <c r="AS350" s="166">
        <v>0.3</v>
      </c>
      <c r="AT350" s="166">
        <v>0.28999999999999998</v>
      </c>
      <c r="AU350" s="168">
        <f>(AS350*365)*(AT350*0.67*0.015*1)</f>
        <v>0.31913775</v>
      </c>
      <c r="AV350" s="168">
        <f>(AS350*365)*(AT350*0.67*0.005*1)</f>
        <v>0.10637925000000001</v>
      </c>
      <c r="AW350" s="170"/>
      <c r="AX350" s="168">
        <f>(AS350*365)*(AT350*0.67*0.04*1)</f>
        <v>0.85103400000000007</v>
      </c>
      <c r="AY350" s="168">
        <f>(AS350*365)*(AT350*0.67*0.015*1)</f>
        <v>0.31913775</v>
      </c>
      <c r="AZ350" s="169">
        <f>(AR350*365)*(AS350*0.67*0.65*1)</f>
        <v>14.306175000000001</v>
      </c>
      <c r="BA350" s="168">
        <f>(AS350*365)*(AT350*0.67*0.65*1)</f>
        <v>13.829302500000002</v>
      </c>
      <c r="BB350" s="168">
        <f>(AS350*365)*(AT350*0.67*0.79*1)</f>
        <v>16.807921499999999</v>
      </c>
      <c r="BC350" s="168">
        <f>(AS350*365)*(AT350*0.67*0.03*1)</f>
        <v>0.6382755</v>
      </c>
      <c r="BD350" s="170"/>
      <c r="BE350" s="168">
        <f>(AS350*365)*(AT350*0.67*0.65*1)</f>
        <v>13.829302500000002</v>
      </c>
      <c r="BF350" s="168">
        <f t="shared" si="598"/>
        <v>21.275849999999998</v>
      </c>
      <c r="BG350" s="169">
        <f t="shared" si="599"/>
        <v>2.2009500000000002</v>
      </c>
      <c r="BH350" s="168">
        <f t="shared" si="599"/>
        <v>2.1275850000000003</v>
      </c>
      <c r="BI350" s="168">
        <f t="shared" si="600"/>
        <v>0.10637925000000001</v>
      </c>
      <c r="BJ350" s="168">
        <f>(AS350*365)*(AT350*0.67*0.01*1)</f>
        <v>0.21275850000000002</v>
      </c>
      <c r="BK350" s="168">
        <v>0</v>
      </c>
      <c r="BL350" s="168">
        <v>0</v>
      </c>
      <c r="BM350" s="168">
        <f>(BA350*365)*(BB350*0.67*0.65*1)</f>
        <v>36948.372322531017</v>
      </c>
      <c r="BN350" s="168">
        <f t="shared" si="601"/>
        <v>56843.649726970791</v>
      </c>
      <c r="BO350" s="169">
        <f t="shared" si="602"/>
        <v>4838.2853325007882</v>
      </c>
      <c r="BP350" s="168">
        <f t="shared" si="602"/>
        <v>5684.3649726970798</v>
      </c>
      <c r="BQ350" s="168">
        <f>(BA350*365)*(BB350*0.67*0.01*1)</f>
        <v>568.43649726970796</v>
      </c>
      <c r="BR350" s="168">
        <v>0</v>
      </c>
      <c r="BS350" s="168">
        <v>0</v>
      </c>
      <c r="BT350" s="167">
        <f t="shared" si="603"/>
        <v>5.4331367812500009</v>
      </c>
      <c r="BU350" s="168"/>
      <c r="BV350" s="169"/>
      <c r="BW350" s="168"/>
      <c r="BX350" s="168"/>
      <c r="BY350" s="168"/>
      <c r="BZ350" s="168"/>
      <c r="CA350" s="167"/>
      <c r="CC350" s="117"/>
      <c r="CD350" s="118" t="str">
        <f t="shared" si="604"/>
        <v>Porcinos de Cría - Clima Templado</v>
      </c>
      <c r="CE350" s="99" t="s">
        <v>628</v>
      </c>
      <c r="CF350" s="172">
        <f t="shared" si="606"/>
        <v>5.4331367812500009</v>
      </c>
      <c r="CG350" s="99" t="s">
        <v>577</v>
      </c>
      <c r="CH350" s="105">
        <v>0.2</v>
      </c>
      <c r="CI350" s="105">
        <v>0.5</v>
      </c>
      <c r="CJ350" s="104" t="s">
        <v>385</v>
      </c>
      <c r="CK350" s="172">
        <f t="shared" si="605"/>
        <v>0.15899400000000002</v>
      </c>
      <c r="CL350" s="99" t="s">
        <v>629</v>
      </c>
      <c r="CM350" s="105">
        <v>0.2</v>
      </c>
      <c r="CN350" s="105">
        <v>0.5</v>
      </c>
      <c r="CO350" s="104" t="s">
        <v>385</v>
      </c>
      <c r="CP350" s="48"/>
      <c r="CQ350" s="103">
        <v>25</v>
      </c>
      <c r="CR350" s="99" t="s">
        <v>574</v>
      </c>
      <c r="CS350" s="48"/>
      <c r="CT350" s="103">
        <v>14.9851428571429</v>
      </c>
      <c r="CU350" s="99" t="s">
        <v>574</v>
      </c>
      <c r="CV350" s="48"/>
      <c r="CW350" s="48"/>
      <c r="CX350" s="46"/>
      <c r="CY350" s="46"/>
      <c r="CZ350" s="48"/>
      <c r="DA350" s="48"/>
      <c r="DB350" s="48"/>
      <c r="DC350" s="48"/>
      <c r="DD350" s="46"/>
      <c r="DE350" s="46"/>
      <c r="DF350" s="48"/>
      <c r="DG350" s="48"/>
      <c r="DH350" s="48"/>
      <c r="DI350" s="49"/>
      <c r="DJ350" s="50">
        <v>0.2</v>
      </c>
      <c r="DK350" s="50">
        <v>0.1</v>
      </c>
      <c r="DS350" s="37" t="s">
        <v>654</v>
      </c>
      <c r="DT350" s="37">
        <v>1</v>
      </c>
      <c r="DU350" s="78">
        <f t="shared" si="607"/>
        <v>21</v>
      </c>
      <c r="DV350" s="78">
        <f t="shared" si="608"/>
        <v>25</v>
      </c>
      <c r="DW350" s="37">
        <v>16</v>
      </c>
      <c r="DX350" s="37">
        <v>0.4</v>
      </c>
      <c r="DY350" s="78">
        <f t="shared" si="609"/>
        <v>6.4</v>
      </c>
      <c r="DZ350" s="37">
        <v>5.0000000000000001E-3</v>
      </c>
      <c r="EA350" s="176">
        <f t="shared" si="610"/>
        <v>5.0285714285714281E-2</v>
      </c>
      <c r="EB350" s="176">
        <f t="shared" si="611"/>
        <v>15.588571428571427</v>
      </c>
      <c r="EC350" s="176">
        <f t="shared" si="612"/>
        <v>14.985142857142856</v>
      </c>
      <c r="ED350" s="177">
        <f t="shared" si="613"/>
        <v>36.588571428571427</v>
      </c>
      <c r="EE350" s="177">
        <f t="shared" si="613"/>
        <v>39.985142857142854</v>
      </c>
      <c r="EF350" s="49" t="s">
        <v>628</v>
      </c>
      <c r="EG350" s="37" t="s">
        <v>631</v>
      </c>
    </row>
    <row r="351" spans="17:137" s="37" customFormat="1" ht="28.15" hidden="1" thickBot="1">
      <c r="Q351" s="127" t="s">
        <v>655</v>
      </c>
      <c r="S351" s="150">
        <v>0.55000000000000004</v>
      </c>
      <c r="T351" s="150">
        <v>28</v>
      </c>
      <c r="U351" s="153">
        <f t="shared" si="595"/>
        <v>0</v>
      </c>
      <c r="V351" s="153">
        <f t="shared" si="595"/>
        <v>0</v>
      </c>
      <c r="W351" s="153">
        <f t="shared" si="595"/>
        <v>4.4165000000000003E-2</v>
      </c>
      <c r="X351" s="152">
        <f t="shared" si="595"/>
        <v>0.17666000000000001</v>
      </c>
      <c r="Y351" s="153">
        <f t="shared" si="595"/>
        <v>4.4165000000000003E-2</v>
      </c>
      <c r="Z351" s="153">
        <f t="shared" si="595"/>
        <v>0</v>
      </c>
      <c r="AA351" s="153">
        <f t="shared" ref="AA351:AH351" si="615">((($S351*($T351/1000)*365)*1)*AA$330)*(44/28)</f>
        <v>8.8330000000000006E-2</v>
      </c>
      <c r="AB351" s="156">
        <f t="shared" si="615"/>
        <v>0.61831000000000003</v>
      </c>
      <c r="AC351" s="153">
        <f t="shared" si="615"/>
        <v>0.61831000000000003</v>
      </c>
      <c r="AD351" s="153">
        <f t="shared" si="615"/>
        <v>0</v>
      </c>
      <c r="AE351" s="153">
        <f t="shared" si="615"/>
        <v>0</v>
      </c>
      <c r="AF351" s="153">
        <f t="shared" si="615"/>
        <v>5.299800000000001E-2</v>
      </c>
      <c r="AG351" s="153">
        <f t="shared" si="615"/>
        <v>0</v>
      </c>
      <c r="AH351" s="153">
        <f t="shared" si="615"/>
        <v>0.88330000000000009</v>
      </c>
      <c r="AI351" s="153">
        <v>0</v>
      </c>
      <c r="AJ351" s="160">
        <f t="shared" si="614"/>
        <v>8.8330000000000006E-2</v>
      </c>
      <c r="AK351" s="153">
        <f t="shared" si="614"/>
        <v>8.8330000000000006E-2</v>
      </c>
      <c r="AL351" s="163">
        <f t="shared" si="597"/>
        <v>0.15899400000000002</v>
      </c>
      <c r="AM351" s="36">
        <v>2</v>
      </c>
      <c r="AN351" s="36">
        <v>45</v>
      </c>
      <c r="AP351" s="36">
        <v>33</v>
      </c>
      <c r="AQ351" s="165">
        <v>0.3</v>
      </c>
      <c r="AR351" s="164">
        <v>0.3</v>
      </c>
      <c r="AS351" s="166">
        <v>0.3</v>
      </c>
      <c r="AT351" s="166">
        <v>0.28999999999999998</v>
      </c>
      <c r="AU351" s="168">
        <f>(AS351*365)*(AT351*0.67*0.02*1)</f>
        <v>0.42551700000000003</v>
      </c>
      <c r="AV351" s="168">
        <f>(AS351*365)*(AT351*0.67*0.01*1)</f>
        <v>0.21275850000000002</v>
      </c>
      <c r="AW351" s="170"/>
      <c r="AX351" s="168">
        <f>(AS351*365)*(AT351*0.67*0.05*1)</f>
        <v>1.0637925000000001</v>
      </c>
      <c r="AY351" s="168">
        <f>(AS351*365)*(AT351*0.67*0.02*1)</f>
        <v>0.42551700000000003</v>
      </c>
      <c r="AZ351" s="169">
        <f>(AR351*365)*(AS351*0.67*0.8*1)</f>
        <v>17.607600000000001</v>
      </c>
      <c r="BA351" s="168">
        <f>(AS351*365)*(AT351*0.67*0.8*1)</f>
        <v>17.020680000000002</v>
      </c>
      <c r="BB351" s="168">
        <f>(AS351*365)*(AT351*0.67*0.8*1)</f>
        <v>17.020680000000002</v>
      </c>
      <c r="BC351" s="168">
        <f>(AS351*365)*(AT351*0.67*0.3*1)</f>
        <v>6.3827549999999995</v>
      </c>
      <c r="BD351" s="170"/>
      <c r="BE351" s="168">
        <f>(AS351*365)*(AT351*0.67*0.8*1)</f>
        <v>17.020680000000002</v>
      </c>
      <c r="BF351" s="168">
        <f t="shared" si="598"/>
        <v>21.275849999999998</v>
      </c>
      <c r="BG351" s="169">
        <f t="shared" si="599"/>
        <v>2.2009500000000002</v>
      </c>
      <c r="BH351" s="168">
        <f t="shared" si="599"/>
        <v>2.1275850000000003</v>
      </c>
      <c r="BI351" s="168">
        <f t="shared" si="600"/>
        <v>0.10637925000000001</v>
      </c>
      <c r="BJ351" s="168">
        <f>(AS351*365)*(AT351*0.67*0.015*1)</f>
        <v>0.31913775</v>
      </c>
      <c r="BK351" s="168">
        <v>0</v>
      </c>
      <c r="BL351" s="168">
        <v>0</v>
      </c>
      <c r="BM351" s="168">
        <f>(BA351*365)*(BB351*0.67*0.8*1)</f>
        <v>56677.602064671955</v>
      </c>
      <c r="BN351" s="168">
        <f t="shared" si="601"/>
        <v>70847.002580839937</v>
      </c>
      <c r="BO351" s="169">
        <f t="shared" si="602"/>
        <v>7329.0002669834412</v>
      </c>
      <c r="BP351" s="168">
        <f t="shared" si="602"/>
        <v>7084.7002580839944</v>
      </c>
      <c r="BQ351" s="168">
        <f>(BA351*365)*(BB351*0.67*0.015*1)</f>
        <v>1062.7050387125992</v>
      </c>
      <c r="BR351" s="168">
        <v>0</v>
      </c>
      <c r="BS351" s="168">
        <v>0</v>
      </c>
      <c r="BT351" s="167">
        <f t="shared" si="603"/>
        <v>6.4506176249999996</v>
      </c>
      <c r="BU351" s="168"/>
      <c r="BV351" s="169"/>
      <c r="BW351" s="168"/>
      <c r="BX351" s="168"/>
      <c r="BY351" s="168"/>
      <c r="BZ351" s="168"/>
      <c r="CA351" s="167"/>
      <c r="CC351" s="117"/>
      <c r="CD351" s="118" t="str">
        <f t="shared" si="604"/>
        <v>Porcinos de Cría - Clima Cálido</v>
      </c>
      <c r="CE351" s="99" t="s">
        <v>628</v>
      </c>
      <c r="CF351" s="172">
        <f t="shared" si="606"/>
        <v>6.4506176249999996</v>
      </c>
      <c r="CG351" s="99" t="s">
        <v>577</v>
      </c>
      <c r="CH351" s="105">
        <v>0.2</v>
      </c>
      <c r="CI351" s="105">
        <v>0.5</v>
      </c>
      <c r="CJ351" s="104" t="s">
        <v>385</v>
      </c>
      <c r="CK351" s="172">
        <f t="shared" si="605"/>
        <v>0.15899400000000002</v>
      </c>
      <c r="CL351" s="99" t="s">
        <v>629</v>
      </c>
      <c r="CM351" s="105">
        <v>0.2</v>
      </c>
      <c r="CN351" s="105">
        <v>0.5</v>
      </c>
      <c r="CO351" s="104" t="s">
        <v>385</v>
      </c>
      <c r="CP351" s="48"/>
      <c r="CQ351" s="103">
        <v>50</v>
      </c>
      <c r="CR351" s="99" t="s">
        <v>574</v>
      </c>
      <c r="CS351" s="48"/>
      <c r="CT351" s="103">
        <v>14.9851428571429</v>
      </c>
      <c r="CU351" s="99" t="s">
        <v>574</v>
      </c>
      <c r="CV351" s="48"/>
      <c r="CW351" s="48"/>
      <c r="CX351" s="46"/>
      <c r="CY351" s="46"/>
      <c r="CZ351" s="48"/>
      <c r="DA351" s="48"/>
      <c r="DB351" s="48"/>
      <c r="DC351" s="48"/>
      <c r="DD351" s="46"/>
      <c r="DE351" s="46"/>
      <c r="DF351" s="48"/>
      <c r="DG351" s="48"/>
      <c r="DH351" s="48"/>
      <c r="DI351" s="49"/>
      <c r="DJ351" s="50">
        <v>0.2</v>
      </c>
      <c r="DK351" s="50">
        <v>0.1</v>
      </c>
      <c r="DS351" s="37" t="s">
        <v>656</v>
      </c>
      <c r="DT351" s="37">
        <v>2</v>
      </c>
      <c r="DU351" s="78">
        <f t="shared" si="607"/>
        <v>42</v>
      </c>
      <c r="DV351" s="78">
        <f t="shared" si="608"/>
        <v>50</v>
      </c>
      <c r="DW351" s="37">
        <v>16</v>
      </c>
      <c r="DX351" s="37">
        <v>0.4</v>
      </c>
      <c r="DY351" s="78">
        <f t="shared" si="609"/>
        <v>6.4</v>
      </c>
      <c r="DZ351" s="37">
        <v>5.0000000000000001E-3</v>
      </c>
      <c r="EA351" s="176">
        <f t="shared" si="610"/>
        <v>5.0285714285714281E-2</v>
      </c>
      <c r="EB351" s="176">
        <f t="shared" si="611"/>
        <v>15.588571428571427</v>
      </c>
      <c r="EC351" s="176">
        <f t="shared" si="612"/>
        <v>14.985142857142856</v>
      </c>
      <c r="ED351" s="177">
        <f t="shared" si="613"/>
        <v>57.588571428571427</v>
      </c>
      <c r="EE351" s="177">
        <f t="shared" si="613"/>
        <v>64.985142857142861</v>
      </c>
      <c r="EF351" s="49" t="s">
        <v>628</v>
      </c>
      <c r="EG351" s="37" t="s">
        <v>631</v>
      </c>
    </row>
    <row r="352" spans="17:137" s="37" customFormat="1" ht="28.15" hidden="1" thickBot="1">
      <c r="Q352" s="127" t="s">
        <v>657</v>
      </c>
      <c r="S352" s="150">
        <v>0.32</v>
      </c>
      <c r="T352" s="150">
        <v>380</v>
      </c>
      <c r="U352" s="153">
        <f t="shared" ref="U352:AH357" si="616">((($S352*($T352/1000)*365)*1)*U$330)*(44/28)</f>
        <v>0</v>
      </c>
      <c r="V352" s="153">
        <f t="shared" si="616"/>
        <v>0</v>
      </c>
      <c r="W352" s="153">
        <f t="shared" si="616"/>
        <v>0.34873142857142858</v>
      </c>
      <c r="X352" s="152">
        <f t="shared" si="616"/>
        <v>1.3949257142857143</v>
      </c>
      <c r="Y352" s="153">
        <f t="shared" si="616"/>
        <v>0.34873142857142858</v>
      </c>
      <c r="Z352" s="153">
        <f t="shared" si="616"/>
        <v>0</v>
      </c>
      <c r="AA352" s="153">
        <f t="shared" si="616"/>
        <v>0.69746285714285716</v>
      </c>
      <c r="AB352" s="156">
        <f t="shared" si="616"/>
        <v>4.8822400000000004</v>
      </c>
      <c r="AC352" s="153">
        <f t="shared" si="616"/>
        <v>4.8822400000000004</v>
      </c>
      <c r="AD352" s="153">
        <f t="shared" si="616"/>
        <v>0</v>
      </c>
      <c r="AE352" s="153">
        <f t="shared" si="616"/>
        <v>0</v>
      </c>
      <c r="AF352" s="153">
        <f t="shared" si="616"/>
        <v>0.41847771428571423</v>
      </c>
      <c r="AG352" s="153">
        <f t="shared" si="616"/>
        <v>0</v>
      </c>
      <c r="AH352" s="153">
        <f t="shared" si="616"/>
        <v>6.9746285714285721</v>
      </c>
      <c r="AI352" s="153">
        <v>0</v>
      </c>
      <c r="AJ352" s="160">
        <f t="shared" si="614"/>
        <v>0.69746285714285716</v>
      </c>
      <c r="AK352" s="153">
        <f t="shared" si="614"/>
        <v>0.69746285714285716</v>
      </c>
      <c r="AL352" s="163">
        <f t="shared" si="597"/>
        <v>1.2554331428571428</v>
      </c>
      <c r="AM352" s="36">
        <v>1</v>
      </c>
      <c r="AN352" s="38">
        <v>0</v>
      </c>
      <c r="AP352" s="36">
        <v>5</v>
      </c>
      <c r="AQ352" s="165">
        <v>0.3</v>
      </c>
      <c r="AR352" s="164">
        <v>3.9</v>
      </c>
      <c r="AS352" s="166">
        <v>3.9</v>
      </c>
      <c r="AT352" s="166">
        <v>0.1</v>
      </c>
      <c r="AU352" s="168">
        <f>(AS352*365)*(AT352*0.67*0.01*1)</f>
        <v>0.95374500000000006</v>
      </c>
      <c r="AV352" s="168">
        <f>(AS352*365)*(AT352*0.67*0.001*1)</f>
        <v>9.5374500000000001E-2</v>
      </c>
      <c r="AW352" s="170"/>
      <c r="AX352" s="168">
        <f>(AS352*365)*(AT352*0.67*0.02*1)</f>
        <v>1.9074900000000001</v>
      </c>
      <c r="AY352" s="168">
        <f>(AS352*365)*(AT352*0.67*0.01*1)</f>
        <v>0.95374500000000006</v>
      </c>
      <c r="AZ352" s="169">
        <f>(AR352*365)*(AS352*0.67*0.25*1)</f>
        <v>929.90137500000003</v>
      </c>
      <c r="BA352" s="168">
        <f>(AS352*365)*(AT352*0.67*0.25*1)</f>
        <v>23.843625000000003</v>
      </c>
      <c r="BB352" s="168">
        <f>(AS352*365)*(AT352*0.67*0.73*1)</f>
        <v>69.623384999999999</v>
      </c>
      <c r="BC352" s="168">
        <f>(AS352*365)*(AT352*0.67*0.03*1)</f>
        <v>2.8612350000000002</v>
      </c>
      <c r="BD352" s="170"/>
      <c r="BE352" s="168">
        <f>(AS352*365)*(AT352*0.67*0.25*1)</f>
        <v>23.843625000000003</v>
      </c>
      <c r="BF352" s="168">
        <f t="shared" si="598"/>
        <v>95.374500000000012</v>
      </c>
      <c r="BG352" s="169">
        <f t="shared" si="599"/>
        <v>371.96055000000007</v>
      </c>
      <c r="BH352" s="168">
        <f t="shared" si="599"/>
        <v>9.5374500000000015</v>
      </c>
      <c r="BI352" s="168">
        <f t="shared" si="600"/>
        <v>0.47687250000000003</v>
      </c>
      <c r="BJ352" s="168">
        <f>(AS352*365)*(AT352*0.67*0.005*1)</f>
        <v>0.47687250000000003</v>
      </c>
      <c r="BK352" s="168">
        <v>0</v>
      </c>
      <c r="BL352" s="168">
        <v>0</v>
      </c>
      <c r="BM352" s="168">
        <f>(BA352*365)*(BB352*0.67*0.25*1)</f>
        <v>101492.7670323441</v>
      </c>
      <c r="BN352" s="168">
        <f t="shared" si="601"/>
        <v>405971.06812937639</v>
      </c>
      <c r="BO352" s="169">
        <f t="shared" si="602"/>
        <v>542221.63209060556</v>
      </c>
      <c r="BP352" s="168">
        <f t="shared" si="602"/>
        <v>40597.106812937644</v>
      </c>
      <c r="BQ352" s="168">
        <f>(BA352*365)*(BB352*0.67*0.005*1)</f>
        <v>2029.855340646882</v>
      </c>
      <c r="BR352" s="168">
        <v>0</v>
      </c>
      <c r="BS352" s="168">
        <v>0</v>
      </c>
      <c r="BT352" s="167">
        <f t="shared" si="603"/>
        <v>95.738115281250003</v>
      </c>
      <c r="BU352" s="168"/>
      <c r="BV352" s="169"/>
      <c r="BW352" s="168"/>
      <c r="BX352" s="168"/>
      <c r="BY352" s="168"/>
      <c r="BZ352" s="168"/>
      <c r="CA352" s="167"/>
      <c r="CC352" s="117"/>
      <c r="CD352" s="118" t="str">
        <f t="shared" si="604"/>
        <v>Búfalos - Clima Frío</v>
      </c>
      <c r="CE352" s="99" t="s">
        <v>628</v>
      </c>
      <c r="CF352" s="172">
        <f t="shared" si="606"/>
        <v>95.738115281250003</v>
      </c>
      <c r="CG352" s="99" t="s">
        <v>577</v>
      </c>
      <c r="CH352" s="105">
        <v>0.2</v>
      </c>
      <c r="CI352" s="105">
        <v>0.5</v>
      </c>
      <c r="CJ352" s="104" t="s">
        <v>385</v>
      </c>
      <c r="CK352" s="172">
        <f t="shared" si="605"/>
        <v>1.2554331428571428</v>
      </c>
      <c r="CL352" s="99" t="s">
        <v>629</v>
      </c>
      <c r="CM352" s="105">
        <v>0.2</v>
      </c>
      <c r="CN352" s="105">
        <v>0.5</v>
      </c>
      <c r="CO352" s="104" t="s">
        <v>385</v>
      </c>
      <c r="CP352" s="48"/>
      <c r="CQ352" s="103">
        <v>25</v>
      </c>
      <c r="CR352" s="99" t="s">
        <v>574</v>
      </c>
      <c r="CS352" s="48"/>
      <c r="CT352" s="103">
        <v>370.88228571428601</v>
      </c>
      <c r="CU352" s="99" t="s">
        <v>574</v>
      </c>
      <c r="CV352" s="48"/>
      <c r="CW352" s="48"/>
      <c r="CX352" s="46"/>
      <c r="CY352" s="46"/>
      <c r="CZ352" s="48"/>
      <c r="DA352" s="48"/>
      <c r="DB352" s="48"/>
      <c r="DC352" s="48"/>
      <c r="DD352" s="46"/>
      <c r="DE352" s="46"/>
      <c r="DF352" s="48"/>
      <c r="DG352" s="48"/>
      <c r="DH352" s="48"/>
      <c r="DI352" s="49"/>
      <c r="DJ352" s="50">
        <v>0.2</v>
      </c>
      <c r="DK352" s="50">
        <v>0.25</v>
      </c>
      <c r="DS352" s="37" t="s">
        <v>657</v>
      </c>
      <c r="DT352" s="37">
        <v>1</v>
      </c>
      <c r="DU352" s="78">
        <f t="shared" si="607"/>
        <v>21</v>
      </c>
      <c r="DV352" s="78">
        <f t="shared" si="608"/>
        <v>25</v>
      </c>
      <c r="DW352" s="37">
        <v>40</v>
      </c>
      <c r="DX352" s="37">
        <v>0.99</v>
      </c>
      <c r="DY352" s="78">
        <f t="shared" si="609"/>
        <v>39.6</v>
      </c>
      <c r="DZ352" s="37">
        <v>0.02</v>
      </c>
      <c r="EA352" s="176">
        <f t="shared" si="610"/>
        <v>1.2445714285714284</v>
      </c>
      <c r="EB352" s="176">
        <f t="shared" si="611"/>
        <v>385.81714285714281</v>
      </c>
      <c r="EC352" s="176">
        <f t="shared" si="612"/>
        <v>370.88228571428567</v>
      </c>
      <c r="ED352" s="177">
        <f t="shared" si="613"/>
        <v>406.81714285714281</v>
      </c>
      <c r="EE352" s="177">
        <f t="shared" si="613"/>
        <v>395.88228571428567</v>
      </c>
      <c r="EF352" s="49" t="s">
        <v>628</v>
      </c>
      <c r="EG352" s="37" t="s">
        <v>631</v>
      </c>
    </row>
    <row r="353" spans="17:137" s="37" customFormat="1" ht="28.15" hidden="1" thickBot="1">
      <c r="Q353" s="127" t="s">
        <v>658</v>
      </c>
      <c r="S353" s="150">
        <v>0.32</v>
      </c>
      <c r="T353" s="150">
        <v>380</v>
      </c>
      <c r="U353" s="153">
        <f t="shared" si="616"/>
        <v>0</v>
      </c>
      <c r="V353" s="153">
        <f t="shared" si="616"/>
        <v>0</v>
      </c>
      <c r="W353" s="153">
        <f t="shared" si="616"/>
        <v>0.34873142857142858</v>
      </c>
      <c r="X353" s="152">
        <f t="shared" si="616"/>
        <v>1.3949257142857143</v>
      </c>
      <c r="Y353" s="153">
        <f t="shared" si="616"/>
        <v>0.34873142857142858</v>
      </c>
      <c r="Z353" s="153">
        <f t="shared" si="616"/>
        <v>0</v>
      </c>
      <c r="AA353" s="153">
        <f t="shared" si="616"/>
        <v>0.69746285714285716</v>
      </c>
      <c r="AB353" s="156">
        <f t="shared" si="616"/>
        <v>4.8822400000000004</v>
      </c>
      <c r="AC353" s="153">
        <f t="shared" si="616"/>
        <v>4.8822400000000004</v>
      </c>
      <c r="AD353" s="153">
        <f t="shared" si="616"/>
        <v>0</v>
      </c>
      <c r="AE353" s="153">
        <f t="shared" si="616"/>
        <v>0</v>
      </c>
      <c r="AF353" s="153">
        <f t="shared" si="616"/>
        <v>0.41847771428571423</v>
      </c>
      <c r="AG353" s="153">
        <f t="shared" si="616"/>
        <v>0</v>
      </c>
      <c r="AH353" s="153">
        <f t="shared" si="616"/>
        <v>6.9746285714285721</v>
      </c>
      <c r="AI353" s="153">
        <v>0</v>
      </c>
      <c r="AJ353" s="160">
        <f t="shared" si="614"/>
        <v>0.69746285714285716</v>
      </c>
      <c r="AK353" s="153">
        <f t="shared" si="614"/>
        <v>0.69746285714285716</v>
      </c>
      <c r="AL353" s="163">
        <f t="shared" si="597"/>
        <v>1.2554331428571428</v>
      </c>
      <c r="AM353" s="36">
        <v>1</v>
      </c>
      <c r="AN353" s="38">
        <v>0</v>
      </c>
      <c r="AP353" s="36">
        <v>14</v>
      </c>
      <c r="AQ353" s="165">
        <v>0.3</v>
      </c>
      <c r="AR353" s="164">
        <v>3.9</v>
      </c>
      <c r="AS353" s="166">
        <v>3.9</v>
      </c>
      <c r="AT353" s="166">
        <v>0.1</v>
      </c>
      <c r="AU353" s="168">
        <f>(AS353*365)*(AT353*0.67*0.015*1)</f>
        <v>1.4306175000000001</v>
      </c>
      <c r="AV353" s="168">
        <f>(AS353*365)*(AT353*0.67*0.005*1)</f>
        <v>0.47687250000000003</v>
      </c>
      <c r="AW353" s="170"/>
      <c r="AX353" s="168">
        <f>(AS353*365)*(AT353*0.67*0.04*1)</f>
        <v>3.8149800000000003</v>
      </c>
      <c r="AY353" s="168">
        <f>(AS353*365)*(AT353*0.67*0.015*1)</f>
        <v>1.4306175000000001</v>
      </c>
      <c r="AZ353" s="169">
        <f>(AR353*365)*(AS353*0.67*0.65*1)</f>
        <v>2417.743575</v>
      </c>
      <c r="BA353" s="168">
        <f>(AS353*365)*(AT353*0.67*0.65*1)</f>
        <v>61.993425000000009</v>
      </c>
      <c r="BB353" s="168">
        <f>(AS353*365)*(AT353*0.67*0.79*1)</f>
        <v>75.345855</v>
      </c>
      <c r="BC353" s="168">
        <f>(AS353*365)*(AT353*0.67*0.03*1)</f>
        <v>2.8612350000000002</v>
      </c>
      <c r="BD353" s="170"/>
      <c r="BE353" s="168">
        <f>(AS353*365)*(AT353*0.67*0.65*1)</f>
        <v>61.993425000000009</v>
      </c>
      <c r="BF353" s="168">
        <f t="shared" si="598"/>
        <v>95.374500000000012</v>
      </c>
      <c r="BG353" s="169">
        <f t="shared" si="599"/>
        <v>371.96055000000007</v>
      </c>
      <c r="BH353" s="168">
        <f t="shared" si="599"/>
        <v>9.5374500000000015</v>
      </c>
      <c r="BI353" s="168">
        <f t="shared" si="600"/>
        <v>0.47687250000000003</v>
      </c>
      <c r="BJ353" s="168">
        <f>(AS353*365)*(AT353*0.67*0.01*1)</f>
        <v>0.95374500000000006</v>
      </c>
      <c r="BK353" s="168">
        <v>0</v>
      </c>
      <c r="BL353" s="168">
        <v>0</v>
      </c>
      <c r="BM353" s="168">
        <f>(BA353*365)*(BB353*0.67*0.65*1)</f>
        <v>742482.15487606917</v>
      </c>
      <c r="BN353" s="168">
        <f t="shared" si="601"/>
        <v>1142280.2382708758</v>
      </c>
      <c r="BO353" s="169">
        <f t="shared" si="602"/>
        <v>3665418.2329324931</v>
      </c>
      <c r="BP353" s="168">
        <f t="shared" si="602"/>
        <v>114228.02382708757</v>
      </c>
      <c r="BQ353" s="168">
        <f>(BA353*365)*(BB353*0.67*0.01*1)</f>
        <v>11422.802382708758</v>
      </c>
      <c r="BR353" s="168">
        <v>0</v>
      </c>
      <c r="BS353" s="168">
        <v>0</v>
      </c>
      <c r="BT353" s="167">
        <f t="shared" si="603"/>
        <v>194.08710749999997</v>
      </c>
      <c r="BU353" s="168"/>
      <c r="BV353" s="169"/>
      <c r="BW353" s="168"/>
      <c r="BX353" s="168"/>
      <c r="BY353" s="168"/>
      <c r="BZ353" s="168"/>
      <c r="CA353" s="167"/>
      <c r="CC353" s="117"/>
      <c r="CD353" s="118" t="str">
        <f t="shared" si="604"/>
        <v>Búfalos - Clima Templado</v>
      </c>
      <c r="CE353" s="99" t="s">
        <v>628</v>
      </c>
      <c r="CF353" s="172">
        <f t="shared" si="606"/>
        <v>194.08710749999997</v>
      </c>
      <c r="CG353" s="99" t="s">
        <v>577</v>
      </c>
      <c r="CH353" s="105">
        <v>0.2</v>
      </c>
      <c r="CI353" s="105">
        <v>0.5</v>
      </c>
      <c r="CJ353" s="104" t="s">
        <v>385</v>
      </c>
      <c r="CK353" s="172">
        <f t="shared" si="605"/>
        <v>1.2554331428571428</v>
      </c>
      <c r="CL353" s="99" t="s">
        <v>629</v>
      </c>
      <c r="CM353" s="105">
        <v>0.2</v>
      </c>
      <c r="CN353" s="105">
        <v>0.5</v>
      </c>
      <c r="CO353" s="104" t="s">
        <v>385</v>
      </c>
      <c r="CP353" s="48"/>
      <c r="CQ353" s="103">
        <v>25</v>
      </c>
      <c r="CR353" s="99" t="s">
        <v>574</v>
      </c>
      <c r="CS353" s="48"/>
      <c r="CT353" s="103">
        <v>370.88228571428601</v>
      </c>
      <c r="CU353" s="99" t="s">
        <v>574</v>
      </c>
      <c r="CV353" s="48"/>
      <c r="CW353" s="48"/>
      <c r="CX353" s="46"/>
      <c r="CY353" s="46"/>
      <c r="CZ353" s="48"/>
      <c r="DA353" s="48"/>
      <c r="DB353" s="48"/>
      <c r="DC353" s="48"/>
      <c r="DD353" s="46"/>
      <c r="DE353" s="46"/>
      <c r="DF353" s="48"/>
      <c r="DG353" s="48"/>
      <c r="DH353" s="48"/>
      <c r="DI353" s="49"/>
      <c r="DJ353" s="50">
        <v>0.2</v>
      </c>
      <c r="DK353" s="50">
        <v>0.25</v>
      </c>
      <c r="DS353" s="37" t="s">
        <v>658</v>
      </c>
      <c r="DT353" s="37">
        <v>1</v>
      </c>
      <c r="DU353" s="78">
        <f t="shared" si="607"/>
        <v>21</v>
      </c>
      <c r="DV353" s="78">
        <f t="shared" si="608"/>
        <v>25</v>
      </c>
      <c r="DW353" s="37">
        <v>40</v>
      </c>
      <c r="DX353" s="37">
        <v>0.99</v>
      </c>
      <c r="DY353" s="78">
        <f t="shared" si="609"/>
        <v>39.6</v>
      </c>
      <c r="DZ353" s="37">
        <v>0.02</v>
      </c>
      <c r="EA353" s="176">
        <f t="shared" si="610"/>
        <v>1.2445714285714284</v>
      </c>
      <c r="EB353" s="176">
        <f t="shared" si="611"/>
        <v>385.81714285714281</v>
      </c>
      <c r="EC353" s="176">
        <f t="shared" si="612"/>
        <v>370.88228571428567</v>
      </c>
      <c r="ED353" s="177">
        <f t="shared" si="613"/>
        <v>406.81714285714281</v>
      </c>
      <c r="EE353" s="177">
        <f t="shared" si="613"/>
        <v>395.88228571428567</v>
      </c>
      <c r="EF353" s="49" t="s">
        <v>628</v>
      </c>
      <c r="EG353" s="37" t="s">
        <v>631</v>
      </c>
    </row>
    <row r="354" spans="17:137" s="37" customFormat="1" ht="28.15" hidden="1" thickBot="1">
      <c r="Q354" s="127" t="s">
        <v>659</v>
      </c>
      <c r="S354" s="150">
        <v>0.32</v>
      </c>
      <c r="T354" s="150">
        <v>380</v>
      </c>
      <c r="U354" s="153">
        <f t="shared" si="616"/>
        <v>0</v>
      </c>
      <c r="V354" s="153">
        <f t="shared" si="616"/>
        <v>0</v>
      </c>
      <c r="W354" s="153">
        <f t="shared" si="616"/>
        <v>0.34873142857142858</v>
      </c>
      <c r="X354" s="152">
        <f t="shared" si="616"/>
        <v>1.3949257142857143</v>
      </c>
      <c r="Y354" s="153">
        <f t="shared" si="616"/>
        <v>0.34873142857142858</v>
      </c>
      <c r="Z354" s="153">
        <f t="shared" si="616"/>
        <v>0</v>
      </c>
      <c r="AA354" s="153">
        <f t="shared" si="616"/>
        <v>0.69746285714285716</v>
      </c>
      <c r="AB354" s="156">
        <f t="shared" si="616"/>
        <v>4.8822400000000004</v>
      </c>
      <c r="AC354" s="153">
        <f t="shared" si="616"/>
        <v>4.8822400000000004</v>
      </c>
      <c r="AD354" s="153">
        <f t="shared" si="616"/>
        <v>0</v>
      </c>
      <c r="AE354" s="153">
        <f t="shared" si="616"/>
        <v>0</v>
      </c>
      <c r="AF354" s="153">
        <f t="shared" si="616"/>
        <v>0.41847771428571423</v>
      </c>
      <c r="AG354" s="153">
        <f t="shared" si="616"/>
        <v>0</v>
      </c>
      <c r="AH354" s="153">
        <f t="shared" si="616"/>
        <v>6.9746285714285721</v>
      </c>
      <c r="AI354" s="153">
        <v>0</v>
      </c>
      <c r="AJ354" s="160">
        <f t="shared" si="614"/>
        <v>0.69746285714285716</v>
      </c>
      <c r="AK354" s="153">
        <f t="shared" si="614"/>
        <v>0.69746285714285716</v>
      </c>
      <c r="AL354" s="163">
        <f t="shared" si="597"/>
        <v>1.2554331428571428</v>
      </c>
      <c r="AM354" s="36">
        <v>2</v>
      </c>
      <c r="AN354" s="38">
        <v>0</v>
      </c>
      <c r="AP354" s="36">
        <v>17</v>
      </c>
      <c r="AQ354" s="165">
        <v>0.3</v>
      </c>
      <c r="AR354" s="164">
        <v>3.9</v>
      </c>
      <c r="AS354" s="166">
        <v>3.9</v>
      </c>
      <c r="AT354" s="166">
        <v>0.1</v>
      </c>
      <c r="AU354" s="168">
        <f>(AS354*365)*(AT354*0.67*0.02*1)</f>
        <v>1.9074900000000001</v>
      </c>
      <c r="AV354" s="168">
        <f>(AS354*365)*(AT354*0.67*0.01*1)</f>
        <v>0.95374500000000006</v>
      </c>
      <c r="AW354" s="170"/>
      <c r="AX354" s="168">
        <f>(AS354*365)*(AT354*0.67*0.05*1)</f>
        <v>4.7687250000000008</v>
      </c>
      <c r="AY354" s="168">
        <f>(AS354*365)*(AT354*0.67*0.02*1)</f>
        <v>1.9074900000000001</v>
      </c>
      <c r="AZ354" s="169">
        <f>(AR354*365)*(AS354*0.67*0.8*1)</f>
        <v>2975.6844000000006</v>
      </c>
      <c r="BA354" s="168">
        <f>(AS354*365)*(AT354*0.67*0.8*1)</f>
        <v>76.299600000000012</v>
      </c>
      <c r="BB354" s="168">
        <f>(AS354*365)*(AT354*0.67*0.8*1)</f>
        <v>76.299600000000012</v>
      </c>
      <c r="BC354" s="168">
        <f>(AS354*365)*(AT354*0.67*0.3*1)</f>
        <v>28.612349999999999</v>
      </c>
      <c r="BD354" s="170"/>
      <c r="BE354" s="168">
        <f>(AS354*365)*(AT354*0.67*0.8*1)</f>
        <v>76.299600000000012</v>
      </c>
      <c r="BF354" s="168">
        <f t="shared" si="598"/>
        <v>95.374500000000012</v>
      </c>
      <c r="BG354" s="169">
        <f t="shared" si="599"/>
        <v>371.96055000000007</v>
      </c>
      <c r="BH354" s="168">
        <f t="shared" si="599"/>
        <v>9.5374500000000015</v>
      </c>
      <c r="BI354" s="168">
        <f t="shared" si="600"/>
        <v>0.47687250000000003</v>
      </c>
      <c r="BJ354" s="168">
        <f>(AS354*365)*(AT354*0.67*0.015*1)</f>
        <v>1.4306175000000001</v>
      </c>
      <c r="BK354" s="168">
        <v>0</v>
      </c>
      <c r="BL354" s="168">
        <v>0</v>
      </c>
      <c r="BM354" s="168">
        <f>(BA354*365)*(BB354*0.67*0.8*1)</f>
        <v>1138943.4897657027</v>
      </c>
      <c r="BN354" s="168">
        <f t="shared" si="601"/>
        <v>1423679.3622071284</v>
      </c>
      <c r="BO354" s="169">
        <f t="shared" si="602"/>
        <v>5552349.5126078008</v>
      </c>
      <c r="BP354" s="168">
        <f t="shared" si="602"/>
        <v>142367.93622071284</v>
      </c>
      <c r="BQ354" s="168">
        <f>(BA354*365)*(BB354*0.67*0.015*1)</f>
        <v>21355.190433106927</v>
      </c>
      <c r="BR354" s="168">
        <v>0</v>
      </c>
      <c r="BS354" s="168">
        <v>0</v>
      </c>
      <c r="BT354" s="167">
        <f t="shared" si="603"/>
        <v>232.59456187499998</v>
      </c>
      <c r="BU354" s="168"/>
      <c r="BV354" s="169"/>
      <c r="BW354" s="168"/>
      <c r="BX354" s="168"/>
      <c r="BY354" s="168"/>
      <c r="BZ354" s="168"/>
      <c r="CA354" s="167"/>
      <c r="CC354" s="117"/>
      <c r="CD354" s="118" t="str">
        <f t="shared" si="604"/>
        <v>Búfalos - Clima Cálido</v>
      </c>
      <c r="CE354" s="99" t="s">
        <v>628</v>
      </c>
      <c r="CF354" s="172">
        <f t="shared" si="606"/>
        <v>232.59456187499998</v>
      </c>
      <c r="CG354" s="99" t="s">
        <v>577</v>
      </c>
      <c r="CH354" s="105">
        <v>0.2</v>
      </c>
      <c r="CI354" s="105">
        <v>0.5</v>
      </c>
      <c r="CJ354" s="104" t="s">
        <v>385</v>
      </c>
      <c r="CK354" s="172">
        <f t="shared" si="605"/>
        <v>1.2554331428571428</v>
      </c>
      <c r="CL354" s="99" t="s">
        <v>629</v>
      </c>
      <c r="CM354" s="105">
        <v>0.2</v>
      </c>
      <c r="CN354" s="105">
        <v>0.5</v>
      </c>
      <c r="CO354" s="104" t="s">
        <v>385</v>
      </c>
      <c r="CP354" s="48"/>
      <c r="CQ354" s="103">
        <v>50</v>
      </c>
      <c r="CR354" s="99" t="s">
        <v>574</v>
      </c>
      <c r="CS354" s="48"/>
      <c r="CT354" s="103">
        <v>370.88228571428601</v>
      </c>
      <c r="CU354" s="99" t="s">
        <v>574</v>
      </c>
      <c r="CV354" s="48"/>
      <c r="CW354" s="48"/>
      <c r="CX354" s="46"/>
      <c r="CY354" s="46"/>
      <c r="CZ354" s="48"/>
      <c r="DA354" s="48"/>
      <c r="DB354" s="48"/>
      <c r="DC354" s="48"/>
      <c r="DD354" s="46"/>
      <c r="DE354" s="46"/>
      <c r="DF354" s="48"/>
      <c r="DG354" s="48"/>
      <c r="DH354" s="48"/>
      <c r="DI354" s="49"/>
      <c r="DJ354" s="50">
        <v>0.2</v>
      </c>
      <c r="DK354" s="50">
        <v>0.25</v>
      </c>
      <c r="DS354" s="37" t="s">
        <v>659</v>
      </c>
      <c r="DT354" s="37">
        <v>2</v>
      </c>
      <c r="DU354" s="78">
        <f t="shared" si="607"/>
        <v>42</v>
      </c>
      <c r="DV354" s="78">
        <f t="shared" si="608"/>
        <v>50</v>
      </c>
      <c r="DW354" s="37">
        <v>40</v>
      </c>
      <c r="DX354" s="37">
        <v>0.99</v>
      </c>
      <c r="DY354" s="78">
        <f t="shared" si="609"/>
        <v>39.6</v>
      </c>
      <c r="DZ354" s="37">
        <v>0.02</v>
      </c>
      <c r="EA354" s="176">
        <f t="shared" si="610"/>
        <v>1.2445714285714284</v>
      </c>
      <c r="EB354" s="176">
        <f t="shared" si="611"/>
        <v>385.81714285714281</v>
      </c>
      <c r="EC354" s="176">
        <f t="shared" si="612"/>
        <v>370.88228571428567</v>
      </c>
      <c r="ED354" s="177">
        <f t="shared" si="613"/>
        <v>427.81714285714281</v>
      </c>
      <c r="EE354" s="177">
        <f t="shared" si="613"/>
        <v>420.88228571428567</v>
      </c>
      <c r="EF354" s="49" t="s">
        <v>628</v>
      </c>
      <c r="EG354" s="37" t="s">
        <v>631</v>
      </c>
    </row>
    <row r="355" spans="17:137" s="37" customFormat="1" ht="28.15" hidden="1" thickBot="1">
      <c r="Q355" s="127" t="s">
        <v>660</v>
      </c>
      <c r="S355" s="150">
        <v>1.37</v>
      </c>
      <c r="T355" s="150">
        <v>30</v>
      </c>
      <c r="U355" s="153">
        <f t="shared" si="616"/>
        <v>0</v>
      </c>
      <c r="V355" s="153">
        <f t="shared" si="616"/>
        <v>0</v>
      </c>
      <c r="W355" s="153">
        <f t="shared" si="616"/>
        <v>0.11786892857142858</v>
      </c>
      <c r="X355" s="152">
        <f t="shared" si="616"/>
        <v>0.47147571428571433</v>
      </c>
      <c r="Y355" s="153">
        <f t="shared" si="616"/>
        <v>0.11786892857142858</v>
      </c>
      <c r="Z355" s="153">
        <f t="shared" si="616"/>
        <v>0</v>
      </c>
      <c r="AA355" s="153">
        <f t="shared" si="616"/>
        <v>0.23573785714285717</v>
      </c>
      <c r="AB355" s="156">
        <f t="shared" si="616"/>
        <v>1.6501650000000003</v>
      </c>
      <c r="AC355" s="153">
        <f t="shared" si="616"/>
        <v>1.6501650000000003</v>
      </c>
      <c r="AD355" s="153">
        <f t="shared" si="616"/>
        <v>0</v>
      </c>
      <c r="AE355" s="153">
        <f t="shared" si="616"/>
        <v>0</v>
      </c>
      <c r="AF355" s="153">
        <f t="shared" si="616"/>
        <v>0.14144271428571431</v>
      </c>
      <c r="AG355" s="153">
        <f t="shared" si="616"/>
        <v>0</v>
      </c>
      <c r="AH355" s="153">
        <f t="shared" si="616"/>
        <v>2.3573785714285718</v>
      </c>
      <c r="AI355" s="153">
        <v>0</v>
      </c>
      <c r="AJ355" s="160">
        <f t="shared" si="614"/>
        <v>0.23573785714285717</v>
      </c>
      <c r="AK355" s="153">
        <f t="shared" si="614"/>
        <v>0.23573785714285717</v>
      </c>
      <c r="AL355" s="163">
        <f t="shared" si="597"/>
        <v>0.42432814285714299</v>
      </c>
      <c r="AM355" s="36">
        <v>0.11</v>
      </c>
      <c r="AN355" s="38">
        <v>0</v>
      </c>
      <c r="AP355" s="38">
        <v>0</v>
      </c>
      <c r="AQ355" s="165">
        <v>0.3</v>
      </c>
      <c r="AR355" s="164">
        <v>0.35</v>
      </c>
      <c r="AS355" s="166">
        <v>0.35</v>
      </c>
      <c r="AT355" s="166">
        <v>0.13</v>
      </c>
      <c r="AU355" s="168">
        <f>(AS355*365)*(AT355*0.67*0.01*1)</f>
        <v>0.11127025</v>
      </c>
      <c r="AV355" s="168">
        <f>(AS355*365)*(AT355*0.67*0.001*1)</f>
        <v>1.1127025E-2</v>
      </c>
      <c r="AW355" s="170"/>
      <c r="AX355" s="168">
        <f>(AS355*365)*(AT355*0.67*0.02*1)</f>
        <v>0.2225405</v>
      </c>
      <c r="AY355" s="168">
        <f>(AS355*365)*(AT355*0.67*0.01*1)</f>
        <v>0.11127025</v>
      </c>
      <c r="AZ355" s="169">
        <f>(AR355*365)*(AS355*0.67*0.25*1)</f>
        <v>7.4893437499999989</v>
      </c>
      <c r="BA355" s="168">
        <f>(AS355*365)*(AT355*0.67*0.25*1)</f>
        <v>2.7817562499999999</v>
      </c>
      <c r="BB355" s="168">
        <f>(AS355*365)*(AT355*0.67*0.73*1)</f>
        <v>8.1227282499999998</v>
      </c>
      <c r="BC355" s="168">
        <f>(AS355*365)*(AT355*0.67*0.03*1)</f>
        <v>0.33381074999999999</v>
      </c>
      <c r="BD355" s="170"/>
      <c r="BE355" s="168">
        <f>(AS355*365)*(AT355*0.67*0.25*1)</f>
        <v>2.7817562499999999</v>
      </c>
      <c r="BF355" s="168">
        <f t="shared" si="598"/>
        <v>11.127025</v>
      </c>
      <c r="BG355" s="169">
        <f t="shared" si="599"/>
        <v>2.9957374999999993</v>
      </c>
      <c r="BH355" s="168">
        <f t="shared" si="599"/>
        <v>1.1127024999999999</v>
      </c>
      <c r="BI355" s="168">
        <f t="shared" si="600"/>
        <v>5.5635125000000001E-2</v>
      </c>
      <c r="BJ355" s="168">
        <f>(AS355*365)*(AT355*0.67*0.005*1)</f>
        <v>5.5635125000000001E-2</v>
      </c>
      <c r="BK355" s="168">
        <v>0</v>
      </c>
      <c r="BL355" s="168">
        <v>0</v>
      </c>
      <c r="BM355" s="168">
        <f>(BA355*365)*(BB355*0.67*0.25*1)</f>
        <v>1381.4293290513501</v>
      </c>
      <c r="BN355" s="168">
        <f t="shared" si="601"/>
        <v>5525.7173162054005</v>
      </c>
      <c r="BO355" s="169">
        <f t="shared" si="602"/>
        <v>509.48394643621975</v>
      </c>
      <c r="BP355" s="168">
        <f t="shared" si="602"/>
        <v>552.57173162054005</v>
      </c>
      <c r="BQ355" s="168">
        <f>(BA355*365)*(BB355*0.67*0.005*1)</f>
        <v>27.628586581027005</v>
      </c>
      <c r="BR355" s="168">
        <v>0</v>
      </c>
      <c r="BS355" s="168">
        <v>0</v>
      </c>
      <c r="BT355" s="167">
        <f t="shared" si="603"/>
        <v>2.3320211578125001</v>
      </c>
      <c r="BU355" s="168"/>
      <c r="BV355" s="169"/>
      <c r="BW355" s="168"/>
      <c r="BX355" s="168"/>
      <c r="BY355" s="168"/>
      <c r="BZ355" s="168"/>
      <c r="CA355" s="167"/>
      <c r="CC355" s="117"/>
      <c r="CD355" s="118" t="str">
        <f t="shared" si="604"/>
        <v>Cabras - Clima Frío</v>
      </c>
      <c r="CE355" s="99" t="s">
        <v>628</v>
      </c>
      <c r="CF355" s="172">
        <f t="shared" si="606"/>
        <v>2.3320211578125001</v>
      </c>
      <c r="CG355" s="99" t="s">
        <v>577</v>
      </c>
      <c r="CH355" s="105">
        <v>0.2</v>
      </c>
      <c r="CI355" s="105">
        <v>0.5</v>
      </c>
      <c r="CJ355" s="104" t="s">
        <v>385</v>
      </c>
      <c r="CK355" s="172">
        <f t="shared" si="605"/>
        <v>0.42432814285714299</v>
      </c>
      <c r="CL355" s="99" t="s">
        <v>629</v>
      </c>
      <c r="CM355" s="105">
        <v>0.2</v>
      </c>
      <c r="CN355" s="105">
        <v>0.5</v>
      </c>
      <c r="CO355" s="104" t="s">
        <v>385</v>
      </c>
      <c r="CP355" s="48"/>
      <c r="CQ355" s="103">
        <v>2.75</v>
      </c>
      <c r="CR355" s="99" t="s">
        <v>574</v>
      </c>
      <c r="CS355" s="48"/>
      <c r="CT355" s="103">
        <v>370.88228571428601</v>
      </c>
      <c r="CU355" s="99" t="s">
        <v>574</v>
      </c>
      <c r="CV355" s="46"/>
      <c r="CW355" s="48"/>
      <c r="CX355" s="46"/>
      <c r="CY355" s="46"/>
      <c r="CZ355" s="48"/>
      <c r="DA355" s="48"/>
      <c r="DB355" s="48"/>
      <c r="DC355" s="48"/>
      <c r="DD355" s="46"/>
      <c r="DE355" s="46"/>
      <c r="DF355" s="48"/>
      <c r="DG355" s="48"/>
      <c r="DH355" s="48"/>
      <c r="DI355" s="49"/>
      <c r="DJ355" s="50">
        <v>0.2</v>
      </c>
      <c r="DK355" s="50">
        <v>0.25</v>
      </c>
      <c r="DS355" s="37" t="s">
        <v>660</v>
      </c>
      <c r="DT355" s="37">
        <v>0.11</v>
      </c>
      <c r="DU355" s="78">
        <f t="shared" si="607"/>
        <v>2.31</v>
      </c>
      <c r="DV355" s="78">
        <f t="shared" si="608"/>
        <v>2.75</v>
      </c>
      <c r="DW355" s="37">
        <v>40</v>
      </c>
      <c r="DX355" s="37">
        <v>0.99</v>
      </c>
      <c r="DY355" s="78">
        <f t="shared" si="609"/>
        <v>39.6</v>
      </c>
      <c r="DZ355" s="37">
        <v>0.02</v>
      </c>
      <c r="EA355" s="176">
        <f t="shared" si="610"/>
        <v>1.2445714285714284</v>
      </c>
      <c r="EB355" s="176">
        <f t="shared" si="611"/>
        <v>385.81714285714281</v>
      </c>
      <c r="EC355" s="176">
        <f t="shared" si="612"/>
        <v>370.88228571428567</v>
      </c>
      <c r="ED355" s="177">
        <f t="shared" si="613"/>
        <v>388.12714285714281</v>
      </c>
      <c r="EE355" s="177">
        <f t="shared" si="613"/>
        <v>373.63228571428567</v>
      </c>
      <c r="EF355" s="49" t="s">
        <v>628</v>
      </c>
      <c r="EG355" s="37" t="s">
        <v>631</v>
      </c>
    </row>
    <row r="356" spans="17:137" s="37" customFormat="1" ht="28.15" hidden="1" thickBot="1">
      <c r="Q356" s="127" t="s">
        <v>661</v>
      </c>
      <c r="S356" s="150">
        <v>1.37</v>
      </c>
      <c r="T356" s="150">
        <v>30</v>
      </c>
      <c r="U356" s="153">
        <f t="shared" si="616"/>
        <v>0</v>
      </c>
      <c r="V356" s="153">
        <f t="shared" si="616"/>
        <v>0</v>
      </c>
      <c r="W356" s="153">
        <f t="shared" si="616"/>
        <v>0.11786892857142858</v>
      </c>
      <c r="X356" s="152">
        <f t="shared" si="616"/>
        <v>0.47147571428571433</v>
      </c>
      <c r="Y356" s="153">
        <f t="shared" si="616"/>
        <v>0.11786892857142858</v>
      </c>
      <c r="Z356" s="153">
        <f t="shared" si="616"/>
        <v>0</v>
      </c>
      <c r="AA356" s="153">
        <f t="shared" si="616"/>
        <v>0.23573785714285717</v>
      </c>
      <c r="AB356" s="156">
        <f t="shared" si="616"/>
        <v>1.6501650000000003</v>
      </c>
      <c r="AC356" s="153">
        <f t="shared" si="616"/>
        <v>1.6501650000000003</v>
      </c>
      <c r="AD356" s="153">
        <f t="shared" si="616"/>
        <v>0</v>
      </c>
      <c r="AE356" s="153">
        <f t="shared" si="616"/>
        <v>0</v>
      </c>
      <c r="AF356" s="153">
        <f t="shared" si="616"/>
        <v>0.14144271428571431</v>
      </c>
      <c r="AG356" s="153">
        <f t="shared" si="616"/>
        <v>0</v>
      </c>
      <c r="AH356" s="153">
        <f t="shared" si="616"/>
        <v>2.3573785714285718</v>
      </c>
      <c r="AI356" s="153">
        <v>0</v>
      </c>
      <c r="AJ356" s="160">
        <f t="shared" si="614"/>
        <v>0.23573785714285717</v>
      </c>
      <c r="AK356" s="153">
        <f t="shared" si="614"/>
        <v>0.23573785714285717</v>
      </c>
      <c r="AL356" s="163">
        <f t="shared" si="597"/>
        <v>0.42432814285714299</v>
      </c>
      <c r="AM356" s="36">
        <v>0.17</v>
      </c>
      <c r="AN356" s="38">
        <v>0</v>
      </c>
      <c r="AP356" s="38">
        <v>0</v>
      </c>
      <c r="AQ356" s="165">
        <v>0.3</v>
      </c>
      <c r="AR356" s="164">
        <v>0.35</v>
      </c>
      <c r="AS356" s="166">
        <v>0.35</v>
      </c>
      <c r="AT356" s="166">
        <v>0.13</v>
      </c>
      <c r="AU356" s="168">
        <f>(AS356*365)*(AT356*0.67*0.015*1)</f>
        <v>0.16690537499999999</v>
      </c>
      <c r="AV356" s="168">
        <f>(AS356*365)*(AT356*0.67*0.005*1)</f>
        <v>5.5635125000000001E-2</v>
      </c>
      <c r="AW356" s="170"/>
      <c r="AX356" s="168">
        <f>(AS356*365)*(AT356*0.67*0.04*1)</f>
        <v>0.445081</v>
      </c>
      <c r="AY356" s="168">
        <f>(AS356*365)*(AT356*0.67*0.015*1)</f>
        <v>0.16690537499999999</v>
      </c>
      <c r="AZ356" s="169">
        <f>(AR356*365)*(AS356*0.67*0.65*1)</f>
        <v>19.472293749999999</v>
      </c>
      <c r="BA356" s="168">
        <f>(AS356*365)*(AT356*0.67*0.65*1)</f>
        <v>7.2325662499999996</v>
      </c>
      <c r="BB356" s="168">
        <f>(AS356*365)*(AT356*0.67*0.79*1)</f>
        <v>8.7903497500000007</v>
      </c>
      <c r="BC356" s="168">
        <f>(AS356*365)*(AT356*0.67*0.03*1)</f>
        <v>0.33381074999999999</v>
      </c>
      <c r="BD356" s="170"/>
      <c r="BE356" s="168">
        <f>(AS356*365)*(AT356*0.67*0.65*1)</f>
        <v>7.2325662499999996</v>
      </c>
      <c r="BF356" s="168">
        <f t="shared" si="598"/>
        <v>11.127025</v>
      </c>
      <c r="BG356" s="169">
        <f t="shared" si="599"/>
        <v>2.9957374999999993</v>
      </c>
      <c r="BH356" s="168">
        <f t="shared" si="599"/>
        <v>1.1127024999999999</v>
      </c>
      <c r="BI356" s="168">
        <f t="shared" si="600"/>
        <v>5.5635125000000001E-2</v>
      </c>
      <c r="BJ356" s="168">
        <f>(AS356*365)*(AT356*0.67*0.01*1)</f>
        <v>0.11127025</v>
      </c>
      <c r="BK356" s="168">
        <v>0</v>
      </c>
      <c r="BL356" s="168">
        <v>0</v>
      </c>
      <c r="BM356" s="168">
        <f>(BA356*365)*(BB356*0.67*0.65*1)</f>
        <v>10106.007108035385</v>
      </c>
      <c r="BN356" s="168">
        <f t="shared" si="601"/>
        <v>15547.703243131362</v>
      </c>
      <c r="BO356" s="169">
        <f t="shared" si="602"/>
        <v>3444.1114779088448</v>
      </c>
      <c r="BP356" s="168">
        <f t="shared" si="602"/>
        <v>1554.7703243131364</v>
      </c>
      <c r="BQ356" s="168">
        <f>(BA356*365)*(BB356*0.67*0.01*1)</f>
        <v>155.47703243131363</v>
      </c>
      <c r="BR356" s="168">
        <v>0</v>
      </c>
      <c r="BS356" s="168">
        <v>0</v>
      </c>
      <c r="BT356" s="167">
        <f t="shared" si="603"/>
        <v>3.7061552499999988</v>
      </c>
      <c r="BU356" s="168"/>
      <c r="BV356" s="169"/>
      <c r="BW356" s="168"/>
      <c r="BX356" s="168"/>
      <c r="BY356" s="168"/>
      <c r="BZ356" s="168"/>
      <c r="CA356" s="167"/>
      <c r="CC356" s="117"/>
      <c r="CD356" s="118" t="str">
        <f t="shared" si="604"/>
        <v>Cabras - Clima Templado</v>
      </c>
      <c r="CE356" s="99" t="s">
        <v>628</v>
      </c>
      <c r="CF356" s="172">
        <f t="shared" si="606"/>
        <v>3.7061552499999988</v>
      </c>
      <c r="CG356" s="99" t="s">
        <v>577</v>
      </c>
      <c r="CH356" s="105">
        <v>0.2</v>
      </c>
      <c r="CI356" s="105">
        <v>0.5</v>
      </c>
      <c r="CJ356" s="104" t="s">
        <v>385</v>
      </c>
      <c r="CK356" s="172">
        <f t="shared" si="605"/>
        <v>0.42432814285714299</v>
      </c>
      <c r="CL356" s="99" t="s">
        <v>629</v>
      </c>
      <c r="CM356" s="105">
        <v>0.2</v>
      </c>
      <c r="CN356" s="105">
        <v>0.5</v>
      </c>
      <c r="CO356" s="104" t="s">
        <v>385</v>
      </c>
      <c r="CP356" s="48"/>
      <c r="CQ356" s="103">
        <v>4.25</v>
      </c>
      <c r="CR356" s="99" t="s">
        <v>574</v>
      </c>
      <c r="CS356" s="48"/>
      <c r="CT356" s="103">
        <v>370.88228571428601</v>
      </c>
      <c r="CU356" s="99" t="s">
        <v>574</v>
      </c>
      <c r="CV356" s="46"/>
      <c r="CW356" s="48"/>
      <c r="CX356" s="46"/>
      <c r="CY356" s="46"/>
      <c r="CZ356" s="48"/>
      <c r="DA356" s="48"/>
      <c r="DB356" s="48"/>
      <c r="DC356" s="48"/>
      <c r="DD356" s="46"/>
      <c r="DE356" s="46"/>
      <c r="DF356" s="48"/>
      <c r="DG356" s="48"/>
      <c r="DH356" s="48"/>
      <c r="DI356" s="49"/>
      <c r="DJ356" s="50">
        <v>0.2</v>
      </c>
      <c r="DK356" s="50">
        <v>0.25</v>
      </c>
      <c r="DS356" s="37" t="s">
        <v>661</v>
      </c>
      <c r="DT356" s="37">
        <v>0.17</v>
      </c>
      <c r="DU356" s="78">
        <f t="shared" si="607"/>
        <v>3.5700000000000003</v>
      </c>
      <c r="DV356" s="78">
        <f t="shared" si="608"/>
        <v>4.25</v>
      </c>
      <c r="DW356" s="37">
        <v>40</v>
      </c>
      <c r="DX356" s="37">
        <v>0.99</v>
      </c>
      <c r="DY356" s="78">
        <f t="shared" si="609"/>
        <v>39.6</v>
      </c>
      <c r="DZ356" s="37">
        <v>0.02</v>
      </c>
      <c r="EA356" s="176">
        <f t="shared" si="610"/>
        <v>1.2445714285714284</v>
      </c>
      <c r="EB356" s="176">
        <f t="shared" si="611"/>
        <v>385.81714285714281</v>
      </c>
      <c r="EC356" s="176">
        <f t="shared" si="612"/>
        <v>370.88228571428567</v>
      </c>
      <c r="ED356" s="177">
        <f t="shared" si="613"/>
        <v>389.38714285714281</v>
      </c>
      <c r="EE356" s="177">
        <f t="shared" si="613"/>
        <v>375.13228571428567</v>
      </c>
      <c r="EF356" s="49" t="s">
        <v>628</v>
      </c>
      <c r="EG356" s="37" t="s">
        <v>631</v>
      </c>
    </row>
    <row r="357" spans="17:137" s="37" customFormat="1" ht="22.5" hidden="1" customHeight="1" thickBot="1">
      <c r="Q357" s="127" t="s">
        <v>662</v>
      </c>
      <c r="S357" s="150">
        <v>1.37</v>
      </c>
      <c r="T357" s="150">
        <v>30</v>
      </c>
      <c r="U357" s="153">
        <f t="shared" si="616"/>
        <v>0</v>
      </c>
      <c r="V357" s="153">
        <f t="shared" si="616"/>
        <v>0</v>
      </c>
      <c r="W357" s="153">
        <f t="shared" si="616"/>
        <v>0.11786892857142858</v>
      </c>
      <c r="X357" s="152">
        <f t="shared" si="616"/>
        <v>0.47147571428571433</v>
      </c>
      <c r="Y357" s="153">
        <f t="shared" si="616"/>
        <v>0.11786892857142858</v>
      </c>
      <c r="Z357" s="153">
        <f t="shared" si="616"/>
        <v>0</v>
      </c>
      <c r="AA357" s="153">
        <f t="shared" si="616"/>
        <v>0.23573785714285717</v>
      </c>
      <c r="AB357" s="156">
        <f t="shared" si="616"/>
        <v>1.6501650000000003</v>
      </c>
      <c r="AC357" s="153">
        <f t="shared" si="616"/>
        <v>1.6501650000000003</v>
      </c>
      <c r="AD357" s="153">
        <f t="shared" si="616"/>
        <v>0</v>
      </c>
      <c r="AE357" s="153">
        <f t="shared" si="616"/>
        <v>0</v>
      </c>
      <c r="AF357" s="153">
        <f t="shared" si="616"/>
        <v>0.14144271428571431</v>
      </c>
      <c r="AG357" s="153">
        <f t="shared" si="616"/>
        <v>0</v>
      </c>
      <c r="AH357" s="153">
        <f t="shared" si="616"/>
        <v>2.3573785714285718</v>
      </c>
      <c r="AI357" s="153">
        <v>0</v>
      </c>
      <c r="AJ357" s="160">
        <f t="shared" si="614"/>
        <v>0.23573785714285717</v>
      </c>
      <c r="AK357" s="153">
        <f t="shared" si="614"/>
        <v>0.23573785714285717</v>
      </c>
      <c r="AL357" s="163">
        <f t="shared" si="597"/>
        <v>0.42432814285714299</v>
      </c>
      <c r="AM357" s="36">
        <v>0.22</v>
      </c>
      <c r="AN357" s="38">
        <v>0</v>
      </c>
      <c r="AP357" s="38">
        <v>0</v>
      </c>
      <c r="AQ357" s="165">
        <v>0.3</v>
      </c>
      <c r="AR357" s="164">
        <v>0.35</v>
      </c>
      <c r="AS357" s="166">
        <v>0.35</v>
      </c>
      <c r="AT357" s="166">
        <v>0.13</v>
      </c>
      <c r="AU357" s="168">
        <f>(AS357*365)*(AT357*0.67*0.02*1)</f>
        <v>0.2225405</v>
      </c>
      <c r="AV357" s="168">
        <f>(AS357*365)*(AT357*0.67*0.01*1)</f>
        <v>0.11127025</v>
      </c>
      <c r="AW357" s="170"/>
      <c r="AX357" s="168">
        <f>(AS357*365)*(AT357*0.67*0.05*1)</f>
        <v>0.55635124999999996</v>
      </c>
      <c r="AY357" s="168">
        <f>(AS357*365)*(AT357*0.67*0.02*1)</f>
        <v>0.2225405</v>
      </c>
      <c r="AZ357" s="169">
        <f>(AR357*365)*(AS357*0.67*0.8*1)</f>
        <v>23.965899999999994</v>
      </c>
      <c r="BA357" s="168">
        <f>(AS357*365)*(AT357*0.67*0.8*1)</f>
        <v>8.9016199999999994</v>
      </c>
      <c r="BB357" s="168">
        <f>(AS357*365)*(AT357*0.67*0.8*1)</f>
        <v>8.9016199999999994</v>
      </c>
      <c r="BC357" s="168">
        <f>(AS357*365)*(AT357*0.67*0.3*1)</f>
        <v>3.3381075</v>
      </c>
      <c r="BD357" s="170"/>
      <c r="BE357" s="168">
        <f>(AS357*365)*(AT357*0.67*0.8*1)</f>
        <v>8.9016199999999994</v>
      </c>
      <c r="BF357" s="168">
        <f t="shared" si="598"/>
        <v>11.127025</v>
      </c>
      <c r="BG357" s="169">
        <f t="shared" si="599"/>
        <v>2.9957374999999993</v>
      </c>
      <c r="BH357" s="168">
        <f t="shared" si="599"/>
        <v>1.1127024999999999</v>
      </c>
      <c r="BI357" s="168">
        <f t="shared" si="600"/>
        <v>5.5635125000000001E-2</v>
      </c>
      <c r="BJ357" s="168">
        <f>(AS357*365)*(AT357*0.67*0.015*1)</f>
        <v>0.16690537499999999</v>
      </c>
      <c r="BK357" s="168">
        <v>0</v>
      </c>
      <c r="BL357" s="168">
        <v>0</v>
      </c>
      <c r="BM357" s="168">
        <f>(BA357*365)*(BB357*0.67*0.8*1)</f>
        <v>15502.286388477614</v>
      </c>
      <c r="BN357" s="168">
        <f t="shared" si="601"/>
        <v>19377.857985597017</v>
      </c>
      <c r="BO357" s="169">
        <f t="shared" si="602"/>
        <v>5217.1156115068889</v>
      </c>
      <c r="BP357" s="168">
        <f t="shared" si="602"/>
        <v>1937.7857985597018</v>
      </c>
      <c r="BQ357" s="168">
        <f>(BA357*365)*(BB357*0.67*0.015*1)</f>
        <v>290.66786978395527</v>
      </c>
      <c r="BR357" s="168">
        <v>0</v>
      </c>
      <c r="BS357" s="168">
        <v>0</v>
      </c>
      <c r="BT357" s="167">
        <f t="shared" si="603"/>
        <v>4.4112234687499994</v>
      </c>
      <c r="BU357" s="168"/>
      <c r="BV357" s="169"/>
      <c r="BW357" s="168"/>
      <c r="BX357" s="168"/>
      <c r="BY357" s="168"/>
      <c r="BZ357" s="168"/>
      <c r="CA357" s="167"/>
      <c r="CC357" s="117"/>
      <c r="CD357" s="118" t="str">
        <f t="shared" si="604"/>
        <v>Cabras - Clima Cálido</v>
      </c>
      <c r="CE357" s="99" t="s">
        <v>628</v>
      </c>
      <c r="CF357" s="172">
        <f t="shared" si="606"/>
        <v>4.4112234687499994</v>
      </c>
      <c r="CG357" s="99" t="s">
        <v>577</v>
      </c>
      <c r="CH357" s="105">
        <v>0.2</v>
      </c>
      <c r="CI357" s="105">
        <v>0.5</v>
      </c>
      <c r="CJ357" s="104" t="s">
        <v>385</v>
      </c>
      <c r="CK357" s="172">
        <f t="shared" si="605"/>
        <v>0.42432814285714299</v>
      </c>
      <c r="CL357" s="99" t="s">
        <v>629</v>
      </c>
      <c r="CM357" s="105">
        <v>0.2</v>
      </c>
      <c r="CN357" s="105">
        <v>0.5</v>
      </c>
      <c r="CO357" s="104" t="s">
        <v>385</v>
      </c>
      <c r="CP357" s="174"/>
      <c r="CQ357" s="103">
        <v>5.5</v>
      </c>
      <c r="CR357" s="99" t="s">
        <v>574</v>
      </c>
      <c r="CS357" s="174"/>
      <c r="CT357" s="103">
        <v>370.88228571428601</v>
      </c>
      <c r="CU357" s="99" t="s">
        <v>574</v>
      </c>
      <c r="CV357" s="48"/>
      <c r="CW357" s="48"/>
      <c r="CX357" s="46"/>
      <c r="CY357" s="46"/>
      <c r="CZ357" s="48"/>
      <c r="DA357" s="48"/>
      <c r="DB357" s="48"/>
      <c r="DC357" s="48"/>
      <c r="DD357" s="46"/>
      <c r="DE357" s="46"/>
      <c r="DF357" s="48"/>
      <c r="DG357" s="48"/>
      <c r="DH357" s="48"/>
      <c r="DI357" s="49"/>
      <c r="DJ357" s="50">
        <v>0.2</v>
      </c>
      <c r="DK357" s="50">
        <v>0.25</v>
      </c>
      <c r="DS357" s="37" t="s">
        <v>662</v>
      </c>
      <c r="DT357" s="37">
        <v>0.22</v>
      </c>
      <c r="DU357" s="78">
        <f t="shared" si="607"/>
        <v>4.62</v>
      </c>
      <c r="DV357" s="78">
        <f t="shared" si="608"/>
        <v>5.5</v>
      </c>
      <c r="DW357" s="37">
        <v>40</v>
      </c>
      <c r="DX357" s="37">
        <v>0.99</v>
      </c>
      <c r="DY357" s="78">
        <f t="shared" si="609"/>
        <v>39.6</v>
      </c>
      <c r="DZ357" s="37">
        <v>0.02</v>
      </c>
      <c r="EA357" s="176">
        <f t="shared" si="610"/>
        <v>1.2445714285714284</v>
      </c>
      <c r="EB357" s="176">
        <f t="shared" si="611"/>
        <v>385.81714285714281</v>
      </c>
      <c r="EC357" s="176">
        <f t="shared" si="612"/>
        <v>370.88228571428567</v>
      </c>
      <c r="ED357" s="177">
        <f t="shared" si="613"/>
        <v>390.43714285714282</v>
      </c>
      <c r="EE357" s="177">
        <f t="shared" si="613"/>
        <v>376.38228571428567</v>
      </c>
      <c r="EF357" s="49" t="s">
        <v>628</v>
      </c>
      <c r="EG357" s="37" t="s">
        <v>631</v>
      </c>
    </row>
    <row r="358" spans="17:137" s="37" customFormat="1" ht="22.5" hidden="1" customHeight="1" thickBot="1">
      <c r="Q358" s="127" t="str">
        <f>Q367</f>
        <v>Conejos - Clima Frío</v>
      </c>
      <c r="R358" s="127">
        <f t="shared" ref="R358:BS360" si="617">R367</f>
        <v>0</v>
      </c>
      <c r="S358" s="127">
        <f t="shared" si="617"/>
        <v>1.37</v>
      </c>
      <c r="T358" s="127">
        <f t="shared" si="617"/>
        <v>30</v>
      </c>
      <c r="U358" s="127">
        <f t="shared" si="617"/>
        <v>0</v>
      </c>
      <c r="V358" s="127">
        <f t="shared" si="617"/>
        <v>0</v>
      </c>
      <c r="W358" s="127">
        <f t="shared" si="617"/>
        <v>0.11786892857142858</v>
      </c>
      <c r="X358" s="154">
        <f t="shared" si="617"/>
        <v>0.47147571428571433</v>
      </c>
      <c r="Y358" s="127">
        <f t="shared" si="617"/>
        <v>0.11786892857142858</v>
      </c>
      <c r="Z358" s="127">
        <f t="shared" si="617"/>
        <v>0</v>
      </c>
      <c r="AA358" s="127">
        <f t="shared" si="617"/>
        <v>0.23573785714285717</v>
      </c>
      <c r="AB358" s="157">
        <f t="shared" si="617"/>
        <v>1.6501650000000003</v>
      </c>
      <c r="AC358" s="127">
        <f t="shared" si="617"/>
        <v>1.6501650000000003</v>
      </c>
      <c r="AD358" s="127">
        <f t="shared" si="617"/>
        <v>0</v>
      </c>
      <c r="AE358" s="127">
        <f t="shared" si="617"/>
        <v>0</v>
      </c>
      <c r="AF358" s="127">
        <f t="shared" si="617"/>
        <v>0.14144271428571431</v>
      </c>
      <c r="AG358" s="127">
        <f t="shared" si="617"/>
        <v>0</v>
      </c>
      <c r="AH358" s="127">
        <f t="shared" si="617"/>
        <v>2.3573785714285718</v>
      </c>
      <c r="AI358" s="127">
        <f t="shared" si="617"/>
        <v>0</v>
      </c>
      <c r="AJ358" s="161">
        <f t="shared" si="617"/>
        <v>0.23573785714285717</v>
      </c>
      <c r="AK358" s="127">
        <f t="shared" si="617"/>
        <v>0.23573785714285717</v>
      </c>
      <c r="AL358" s="163">
        <f t="shared" si="597"/>
        <v>0.42432814285714299</v>
      </c>
      <c r="AM358" s="127">
        <f t="shared" si="617"/>
        <v>0.08</v>
      </c>
      <c r="AN358" s="127">
        <f t="shared" si="617"/>
        <v>0</v>
      </c>
      <c r="AO358" s="127">
        <f t="shared" si="617"/>
        <v>0</v>
      </c>
      <c r="AP358" s="127">
        <f t="shared" si="617"/>
        <v>0</v>
      </c>
      <c r="AQ358" s="127">
        <f t="shared" si="617"/>
        <v>0</v>
      </c>
      <c r="AR358" s="161">
        <f t="shared" si="617"/>
        <v>0.1</v>
      </c>
      <c r="AS358" s="127">
        <f t="shared" si="617"/>
        <v>0.1</v>
      </c>
      <c r="AT358" s="127">
        <f t="shared" si="617"/>
        <v>0.32</v>
      </c>
      <c r="AU358" s="127">
        <f t="shared" si="617"/>
        <v>7.8256000000000006E-2</v>
      </c>
      <c r="AV358" s="127">
        <f t="shared" si="617"/>
        <v>7.8256000000000003E-3</v>
      </c>
      <c r="AW358" s="127">
        <f t="shared" si="617"/>
        <v>0</v>
      </c>
      <c r="AX358" s="127">
        <f t="shared" si="617"/>
        <v>0.15651200000000001</v>
      </c>
      <c r="AY358" s="127">
        <f t="shared" si="617"/>
        <v>7.8256000000000006E-2</v>
      </c>
      <c r="AZ358" s="161">
        <f t="shared" si="617"/>
        <v>0.611375</v>
      </c>
      <c r="BA358" s="127">
        <f t="shared" si="617"/>
        <v>1.9564000000000001</v>
      </c>
      <c r="BB358" s="127">
        <f t="shared" si="617"/>
        <v>5.7126880000000009</v>
      </c>
      <c r="BC358" s="127">
        <f t="shared" si="617"/>
        <v>0.234768</v>
      </c>
      <c r="BD358" s="127">
        <f t="shared" si="617"/>
        <v>0</v>
      </c>
      <c r="BE358" s="127">
        <f t="shared" si="617"/>
        <v>1.9564000000000001</v>
      </c>
      <c r="BF358" s="127">
        <f t="shared" si="617"/>
        <v>7.8256000000000006</v>
      </c>
      <c r="BG358" s="161">
        <f t="shared" si="617"/>
        <v>0.24455000000000005</v>
      </c>
      <c r="BH358" s="127">
        <f t="shared" si="617"/>
        <v>0.78256000000000003</v>
      </c>
      <c r="BI358" s="127">
        <f t="shared" si="617"/>
        <v>3.9128000000000003E-2</v>
      </c>
      <c r="BJ358" s="127">
        <f t="shared" si="617"/>
        <v>3.9128000000000003E-2</v>
      </c>
      <c r="BK358" s="127">
        <f t="shared" si="617"/>
        <v>0</v>
      </c>
      <c r="BL358" s="127">
        <f t="shared" si="617"/>
        <v>0</v>
      </c>
      <c r="BM358" s="127">
        <f t="shared" si="617"/>
        <v>683.29121263064019</v>
      </c>
      <c r="BN358" s="127">
        <f t="shared" si="617"/>
        <v>2733.1648505225608</v>
      </c>
      <c r="BO358" s="161">
        <f t="shared" si="617"/>
        <v>29.250479992750005</v>
      </c>
      <c r="BP358" s="127">
        <f t="shared" si="617"/>
        <v>273.3164850522561</v>
      </c>
      <c r="BQ358" s="127">
        <f t="shared" si="617"/>
        <v>13.665824252612806</v>
      </c>
      <c r="BR358" s="127">
        <f t="shared" si="617"/>
        <v>0</v>
      </c>
      <c r="BS358" s="127">
        <f t="shared" si="617"/>
        <v>0</v>
      </c>
      <c r="BT358" s="167">
        <f t="shared" si="603"/>
        <v>1.0957470333333337</v>
      </c>
      <c r="BU358" s="127"/>
      <c r="BV358" s="161"/>
      <c r="BW358" s="127"/>
      <c r="BX358" s="127"/>
      <c r="BY358" s="127"/>
      <c r="BZ358" s="127"/>
      <c r="CA358" s="167"/>
      <c r="CC358" s="117"/>
      <c r="CD358" s="118" t="str">
        <f t="shared" si="604"/>
        <v>Conejos - Clima Frío</v>
      </c>
      <c r="CE358" s="99" t="s">
        <v>628</v>
      </c>
      <c r="CF358" s="172">
        <f t="shared" si="606"/>
        <v>1.0957470333333337</v>
      </c>
      <c r="CG358" s="99" t="s">
        <v>577</v>
      </c>
      <c r="CH358" s="105">
        <v>0.2</v>
      </c>
      <c r="CI358" s="105">
        <v>0.5</v>
      </c>
      <c r="CJ358" s="104" t="s">
        <v>385</v>
      </c>
      <c r="CK358" s="172">
        <f t="shared" si="605"/>
        <v>0.42432814285714299</v>
      </c>
      <c r="CL358" s="99" t="s">
        <v>629</v>
      </c>
      <c r="CM358" s="105">
        <v>0.2</v>
      </c>
      <c r="CN358" s="105">
        <v>0.5</v>
      </c>
      <c r="CO358" s="104" t="s">
        <v>385</v>
      </c>
      <c r="CP358" s="174"/>
      <c r="CQ358" s="103"/>
      <c r="CR358" s="99"/>
      <c r="CS358" s="174"/>
      <c r="CT358" s="103"/>
      <c r="CU358" s="99"/>
      <c r="CV358" s="48"/>
      <c r="CW358" s="48"/>
      <c r="CX358" s="46"/>
      <c r="CY358" s="46"/>
      <c r="CZ358" s="48"/>
      <c r="DA358" s="48"/>
      <c r="DB358" s="48"/>
      <c r="DC358" s="48"/>
      <c r="DD358" s="46"/>
      <c r="DE358" s="46"/>
      <c r="DF358" s="48"/>
      <c r="DG358" s="48"/>
      <c r="DH358" s="48"/>
      <c r="DI358" s="49"/>
      <c r="DJ358" s="50"/>
      <c r="DK358" s="50">
        <v>0.25</v>
      </c>
      <c r="DU358" s="78"/>
      <c r="DV358" s="78"/>
      <c r="DY358" s="78"/>
      <c r="EA358" s="176"/>
      <c r="EB358" s="176"/>
      <c r="EC358" s="176"/>
      <c r="ED358" s="177"/>
      <c r="EE358" s="177"/>
      <c r="EF358" s="49"/>
    </row>
    <row r="359" spans="17:137" s="37" customFormat="1" ht="22.5" hidden="1" customHeight="1" thickBot="1">
      <c r="Q359" s="127" t="str">
        <f t="shared" ref="Q359:AG360" si="618">Q368</f>
        <v>Conejos - Clima Templado</v>
      </c>
      <c r="R359" s="127">
        <f t="shared" si="618"/>
        <v>0</v>
      </c>
      <c r="S359" s="127">
        <f t="shared" si="618"/>
        <v>1.37</v>
      </c>
      <c r="T359" s="127">
        <f t="shared" si="618"/>
        <v>30</v>
      </c>
      <c r="U359" s="127">
        <f t="shared" si="618"/>
        <v>0</v>
      </c>
      <c r="V359" s="127">
        <f t="shared" si="618"/>
        <v>0</v>
      </c>
      <c r="W359" s="127">
        <f t="shared" si="618"/>
        <v>0.11786892857142858</v>
      </c>
      <c r="X359" s="154">
        <f t="shared" si="618"/>
        <v>0.47147571428571433</v>
      </c>
      <c r="Y359" s="127">
        <f t="shared" si="618"/>
        <v>0.11786892857142858</v>
      </c>
      <c r="Z359" s="127">
        <f t="shared" si="618"/>
        <v>0</v>
      </c>
      <c r="AA359" s="127">
        <f t="shared" si="618"/>
        <v>0.23573785714285717</v>
      </c>
      <c r="AB359" s="157">
        <f t="shared" si="617"/>
        <v>1.6501650000000003</v>
      </c>
      <c r="AC359" s="127">
        <f t="shared" si="618"/>
        <v>1.6501650000000003</v>
      </c>
      <c r="AD359" s="127">
        <f t="shared" si="618"/>
        <v>0</v>
      </c>
      <c r="AE359" s="127">
        <f t="shared" si="618"/>
        <v>0</v>
      </c>
      <c r="AF359" s="127">
        <f t="shared" si="618"/>
        <v>0.14144271428571431</v>
      </c>
      <c r="AG359" s="127">
        <f t="shared" si="618"/>
        <v>0</v>
      </c>
      <c r="AH359" s="127">
        <f t="shared" si="617"/>
        <v>2.3573785714285718</v>
      </c>
      <c r="AI359" s="127">
        <f t="shared" si="617"/>
        <v>0</v>
      </c>
      <c r="AJ359" s="161">
        <f t="shared" si="617"/>
        <v>0.23573785714285717</v>
      </c>
      <c r="AK359" s="127">
        <f t="shared" si="617"/>
        <v>0.23573785714285717</v>
      </c>
      <c r="AL359" s="163">
        <f t="shared" si="597"/>
        <v>0.42432814285714299</v>
      </c>
      <c r="AM359" s="127">
        <f t="shared" si="617"/>
        <v>0</v>
      </c>
      <c r="AN359" s="127">
        <f t="shared" si="617"/>
        <v>0</v>
      </c>
      <c r="AO359" s="127">
        <f t="shared" si="617"/>
        <v>0</v>
      </c>
      <c r="AP359" s="127">
        <f t="shared" si="617"/>
        <v>0</v>
      </c>
      <c r="AQ359" s="127">
        <f t="shared" si="617"/>
        <v>0</v>
      </c>
      <c r="AR359" s="161">
        <f t="shared" si="617"/>
        <v>0.1</v>
      </c>
      <c r="AS359" s="127">
        <f t="shared" si="617"/>
        <v>0.1</v>
      </c>
      <c r="AT359" s="127">
        <f t="shared" si="617"/>
        <v>0.32</v>
      </c>
      <c r="AU359" s="127">
        <f t="shared" si="617"/>
        <v>0.117384</v>
      </c>
      <c r="AV359" s="127">
        <f t="shared" si="617"/>
        <v>3.9128000000000003E-2</v>
      </c>
      <c r="AW359" s="127">
        <f t="shared" si="617"/>
        <v>0</v>
      </c>
      <c r="AX359" s="127">
        <f t="shared" si="617"/>
        <v>0.31302400000000002</v>
      </c>
      <c r="AY359" s="127">
        <f t="shared" si="617"/>
        <v>0.117384</v>
      </c>
      <c r="AZ359" s="161">
        <f t="shared" si="617"/>
        <v>1.5895750000000002</v>
      </c>
      <c r="BA359" s="127">
        <f t="shared" si="617"/>
        <v>5.0866400000000001</v>
      </c>
      <c r="BB359" s="127">
        <f t="shared" si="617"/>
        <v>6.1822240000000006</v>
      </c>
      <c r="BC359" s="127">
        <f t="shared" si="617"/>
        <v>0.234768</v>
      </c>
      <c r="BD359" s="127">
        <f t="shared" si="617"/>
        <v>0</v>
      </c>
      <c r="BE359" s="127">
        <f t="shared" si="617"/>
        <v>5.0866400000000001</v>
      </c>
      <c r="BF359" s="127">
        <f t="shared" si="617"/>
        <v>7.8256000000000006</v>
      </c>
      <c r="BG359" s="161">
        <f t="shared" si="617"/>
        <v>0.24455000000000005</v>
      </c>
      <c r="BH359" s="127">
        <f t="shared" si="617"/>
        <v>0.78256000000000003</v>
      </c>
      <c r="BI359" s="127">
        <f t="shared" si="617"/>
        <v>3.9128000000000003E-2</v>
      </c>
      <c r="BJ359" s="127">
        <f t="shared" si="617"/>
        <v>7.8256000000000006E-2</v>
      </c>
      <c r="BK359" s="127">
        <f t="shared" si="617"/>
        <v>0</v>
      </c>
      <c r="BL359" s="127">
        <f t="shared" si="617"/>
        <v>0</v>
      </c>
      <c r="BM359" s="127">
        <f t="shared" si="617"/>
        <v>4998.6964273050289</v>
      </c>
      <c r="BN359" s="127">
        <f t="shared" si="617"/>
        <v>7690.3021958538902</v>
      </c>
      <c r="BO359" s="161">
        <f t="shared" si="617"/>
        <v>197.73324475099005</v>
      </c>
      <c r="BP359" s="127">
        <f t="shared" si="617"/>
        <v>769.03021958538909</v>
      </c>
      <c r="BQ359" s="127">
        <f t="shared" si="617"/>
        <v>76.903021958538901</v>
      </c>
      <c r="BR359" s="127">
        <f t="shared" si="617"/>
        <v>0</v>
      </c>
      <c r="BS359" s="127">
        <f t="shared" si="617"/>
        <v>0</v>
      </c>
      <c r="BT359" s="167">
        <f t="shared" si="603"/>
        <v>1.5409367222222226</v>
      </c>
      <c r="BU359" s="127"/>
      <c r="BV359" s="161"/>
      <c r="BW359" s="127"/>
      <c r="BX359" s="127"/>
      <c r="BY359" s="127"/>
      <c r="BZ359" s="127"/>
      <c r="CA359" s="167"/>
      <c r="CC359" s="117"/>
      <c r="CD359" s="118" t="str">
        <f t="shared" si="604"/>
        <v>Conejos - Clima Templado</v>
      </c>
      <c r="CE359" s="99" t="s">
        <v>628</v>
      </c>
      <c r="CF359" s="172">
        <f t="shared" si="606"/>
        <v>1.5409367222222226</v>
      </c>
      <c r="CG359" s="99" t="s">
        <v>577</v>
      </c>
      <c r="CH359" s="105">
        <v>0.2</v>
      </c>
      <c r="CI359" s="105">
        <v>0.5</v>
      </c>
      <c r="CJ359" s="104" t="s">
        <v>385</v>
      </c>
      <c r="CK359" s="172">
        <f t="shared" si="605"/>
        <v>0.42432814285714299</v>
      </c>
      <c r="CL359" s="99" t="s">
        <v>629</v>
      </c>
      <c r="CM359" s="105">
        <v>0.2</v>
      </c>
      <c r="CN359" s="105">
        <v>0.5</v>
      </c>
      <c r="CO359" s="104" t="s">
        <v>385</v>
      </c>
      <c r="CP359" s="174"/>
      <c r="CQ359" s="103"/>
      <c r="CR359" s="99"/>
      <c r="CS359" s="174"/>
      <c r="CT359" s="103"/>
      <c r="CU359" s="99"/>
      <c r="CV359" s="48"/>
      <c r="CW359" s="48"/>
      <c r="CX359" s="46"/>
      <c r="CY359" s="46"/>
      <c r="CZ359" s="48"/>
      <c r="DA359" s="48"/>
      <c r="DB359" s="48"/>
      <c r="DC359" s="48"/>
      <c r="DD359" s="46"/>
      <c r="DE359" s="46"/>
      <c r="DF359" s="48"/>
      <c r="DG359" s="48"/>
      <c r="DH359" s="48"/>
      <c r="DI359" s="49"/>
      <c r="DJ359" s="50"/>
      <c r="DK359" s="50">
        <v>0.25</v>
      </c>
      <c r="DU359" s="78"/>
      <c r="DV359" s="78"/>
      <c r="DY359" s="78"/>
      <c r="EA359" s="176"/>
      <c r="EB359" s="176"/>
      <c r="EC359" s="176"/>
      <c r="ED359" s="177"/>
      <c r="EE359" s="177"/>
      <c r="EF359" s="49"/>
    </row>
    <row r="360" spans="17:137" s="37" customFormat="1" ht="22.5" hidden="1" customHeight="1" thickBot="1">
      <c r="Q360" s="127" t="str">
        <f t="shared" si="618"/>
        <v>Conejos - Clima Cálido</v>
      </c>
      <c r="R360" s="127">
        <f t="shared" si="617"/>
        <v>0</v>
      </c>
      <c r="S360" s="127">
        <f t="shared" si="617"/>
        <v>1.37</v>
      </c>
      <c r="T360" s="127">
        <f t="shared" si="617"/>
        <v>30</v>
      </c>
      <c r="U360" s="127">
        <f t="shared" si="617"/>
        <v>0</v>
      </c>
      <c r="V360" s="127">
        <f t="shared" si="617"/>
        <v>0</v>
      </c>
      <c r="W360" s="127">
        <f t="shared" si="617"/>
        <v>0.11786892857142858</v>
      </c>
      <c r="X360" s="154">
        <f t="shared" si="617"/>
        <v>0.47147571428571433</v>
      </c>
      <c r="Y360" s="127">
        <f t="shared" si="617"/>
        <v>0.11786892857142858</v>
      </c>
      <c r="Z360" s="127">
        <f t="shared" si="617"/>
        <v>0</v>
      </c>
      <c r="AA360" s="127">
        <f t="shared" si="617"/>
        <v>0.23573785714285717</v>
      </c>
      <c r="AB360" s="157">
        <f t="shared" si="617"/>
        <v>1.6501650000000003</v>
      </c>
      <c r="AC360" s="127">
        <f t="shared" si="617"/>
        <v>1.6501650000000003</v>
      </c>
      <c r="AD360" s="127">
        <f t="shared" si="617"/>
        <v>0</v>
      </c>
      <c r="AE360" s="127">
        <f t="shared" si="617"/>
        <v>0</v>
      </c>
      <c r="AF360" s="127">
        <f t="shared" si="617"/>
        <v>0.14144271428571431</v>
      </c>
      <c r="AG360" s="127">
        <f t="shared" si="617"/>
        <v>0</v>
      </c>
      <c r="AH360" s="127">
        <f t="shared" si="617"/>
        <v>2.3573785714285718</v>
      </c>
      <c r="AI360" s="127">
        <f t="shared" si="617"/>
        <v>0</v>
      </c>
      <c r="AJ360" s="161">
        <f t="shared" si="617"/>
        <v>0.23573785714285717</v>
      </c>
      <c r="AK360" s="127">
        <f t="shared" si="617"/>
        <v>0.23573785714285717</v>
      </c>
      <c r="AL360" s="163">
        <f t="shared" si="597"/>
        <v>0.42432814285714299</v>
      </c>
      <c r="AM360" s="127">
        <f t="shared" si="617"/>
        <v>0</v>
      </c>
      <c r="AN360" s="127">
        <f t="shared" si="617"/>
        <v>0</v>
      </c>
      <c r="AO360" s="127">
        <f t="shared" si="617"/>
        <v>0</v>
      </c>
      <c r="AP360" s="127">
        <f t="shared" si="617"/>
        <v>0</v>
      </c>
      <c r="AQ360" s="127">
        <f t="shared" si="617"/>
        <v>0</v>
      </c>
      <c r="AR360" s="161">
        <f t="shared" si="617"/>
        <v>0.1</v>
      </c>
      <c r="AS360" s="127">
        <f t="shared" si="617"/>
        <v>0.1</v>
      </c>
      <c r="AT360" s="127">
        <f t="shared" si="617"/>
        <v>0.32</v>
      </c>
      <c r="AU360" s="127">
        <f t="shared" si="617"/>
        <v>0.15651200000000001</v>
      </c>
      <c r="AV360" s="127">
        <f t="shared" si="617"/>
        <v>7.8256000000000006E-2</v>
      </c>
      <c r="AW360" s="127">
        <f t="shared" si="617"/>
        <v>0</v>
      </c>
      <c r="AX360" s="127">
        <f t="shared" si="617"/>
        <v>0.39128000000000002</v>
      </c>
      <c r="AY360" s="127">
        <f t="shared" si="617"/>
        <v>0.15651200000000001</v>
      </c>
      <c r="AZ360" s="161">
        <f t="shared" si="617"/>
        <v>1.9564000000000004</v>
      </c>
      <c r="BA360" s="127">
        <f t="shared" si="617"/>
        <v>6.2604800000000003</v>
      </c>
      <c r="BB360" s="127">
        <f t="shared" si="617"/>
        <v>6.2604800000000003</v>
      </c>
      <c r="BC360" s="127">
        <f t="shared" si="617"/>
        <v>2.34768</v>
      </c>
      <c r="BD360" s="127">
        <f t="shared" si="617"/>
        <v>0</v>
      </c>
      <c r="BE360" s="127">
        <f t="shared" si="617"/>
        <v>6.2604800000000003</v>
      </c>
      <c r="BF360" s="127">
        <f t="shared" si="617"/>
        <v>7.8256000000000006</v>
      </c>
      <c r="BG360" s="161">
        <f t="shared" si="617"/>
        <v>0.24455000000000005</v>
      </c>
      <c r="BH360" s="127">
        <f t="shared" si="617"/>
        <v>0.78256000000000003</v>
      </c>
      <c r="BI360" s="127">
        <f t="shared" si="617"/>
        <v>3.9128000000000003E-2</v>
      </c>
      <c r="BJ360" s="127">
        <f t="shared" si="617"/>
        <v>0.117384</v>
      </c>
      <c r="BK360" s="127">
        <f t="shared" si="617"/>
        <v>0</v>
      </c>
      <c r="BL360" s="127">
        <f t="shared" si="617"/>
        <v>0</v>
      </c>
      <c r="BM360" s="127">
        <f t="shared" si="617"/>
        <v>7667.8378272194577</v>
      </c>
      <c r="BN360" s="127">
        <f t="shared" si="617"/>
        <v>9584.7972840243219</v>
      </c>
      <c r="BO360" s="161">
        <f t="shared" si="617"/>
        <v>299.52491512576012</v>
      </c>
      <c r="BP360" s="127">
        <f t="shared" si="617"/>
        <v>958.47972840243222</v>
      </c>
      <c r="BQ360" s="127">
        <f t="shared" si="617"/>
        <v>143.77195926036484</v>
      </c>
      <c r="BR360" s="127">
        <f t="shared" si="617"/>
        <v>0</v>
      </c>
      <c r="BS360" s="127">
        <f t="shared" si="617"/>
        <v>0</v>
      </c>
      <c r="BT360" s="167">
        <f t="shared" si="603"/>
        <v>1.8265167777777778</v>
      </c>
      <c r="BU360" s="127"/>
      <c r="BV360" s="161"/>
      <c r="BW360" s="127"/>
      <c r="BX360" s="127"/>
      <c r="BY360" s="127"/>
      <c r="BZ360" s="127"/>
      <c r="CA360" s="167"/>
      <c r="CC360" s="117"/>
      <c r="CD360" s="118" t="str">
        <f t="shared" si="604"/>
        <v>Conejos - Clima Cálido</v>
      </c>
      <c r="CE360" s="99" t="s">
        <v>628</v>
      </c>
      <c r="CF360" s="172">
        <f t="shared" si="606"/>
        <v>1.8265167777777778</v>
      </c>
      <c r="CG360" s="99" t="s">
        <v>577</v>
      </c>
      <c r="CH360" s="105">
        <v>0.2</v>
      </c>
      <c r="CI360" s="105">
        <v>0.5</v>
      </c>
      <c r="CJ360" s="104" t="s">
        <v>385</v>
      </c>
      <c r="CK360" s="172">
        <f t="shared" si="605"/>
        <v>0.42432814285714299</v>
      </c>
      <c r="CL360" s="99" t="s">
        <v>629</v>
      </c>
      <c r="CM360" s="105">
        <v>0.2</v>
      </c>
      <c r="CN360" s="105">
        <v>0.5</v>
      </c>
      <c r="CO360" s="104" t="s">
        <v>385</v>
      </c>
      <c r="CP360" s="174"/>
      <c r="CQ360" s="103"/>
      <c r="CR360" s="99"/>
      <c r="CS360" s="174"/>
      <c r="CT360" s="103"/>
      <c r="CU360" s="99"/>
      <c r="CV360" s="48"/>
      <c r="CW360" s="48"/>
      <c r="CX360" s="46"/>
      <c r="CY360" s="46"/>
      <c r="CZ360" s="48"/>
      <c r="DA360" s="48"/>
      <c r="DB360" s="48"/>
      <c r="DC360" s="48"/>
      <c r="DD360" s="46"/>
      <c r="DE360" s="46"/>
      <c r="DF360" s="48"/>
      <c r="DG360" s="48"/>
      <c r="DH360" s="48"/>
      <c r="DI360" s="49"/>
      <c r="DJ360" s="50"/>
      <c r="DK360" s="50">
        <v>0.25</v>
      </c>
      <c r="DU360" s="78"/>
      <c r="DV360" s="78"/>
      <c r="DY360" s="78"/>
      <c r="EA360" s="176"/>
      <c r="EB360" s="176"/>
      <c r="EC360" s="176"/>
      <c r="ED360" s="177"/>
      <c r="EE360" s="177"/>
      <c r="EF360" s="49"/>
    </row>
    <row r="361" spans="17:137" s="37" customFormat="1" ht="24.75" hidden="1" customHeight="1" thickBot="1">
      <c r="Q361" s="127" t="s">
        <v>663</v>
      </c>
      <c r="S361" s="150">
        <v>1.37</v>
      </c>
      <c r="T361" s="150">
        <v>30</v>
      </c>
      <c r="U361" s="153">
        <f t="shared" ref="U361:AK369" si="619">((($S361*($T361/1000)*365)*1)*U$330)*(44/28)</f>
        <v>0</v>
      </c>
      <c r="V361" s="153">
        <f t="shared" si="619"/>
        <v>0</v>
      </c>
      <c r="W361" s="153">
        <f t="shared" si="619"/>
        <v>0.11786892857142858</v>
      </c>
      <c r="X361" s="152">
        <f t="shared" si="619"/>
        <v>0.47147571428571433</v>
      </c>
      <c r="Y361" s="153">
        <f t="shared" si="619"/>
        <v>0.11786892857142858</v>
      </c>
      <c r="Z361" s="153">
        <f t="shared" si="619"/>
        <v>0</v>
      </c>
      <c r="AA361" s="153">
        <f t="shared" si="619"/>
        <v>0.23573785714285717</v>
      </c>
      <c r="AB361" s="156">
        <f t="shared" si="619"/>
        <v>1.6501650000000003</v>
      </c>
      <c r="AC361" s="153">
        <f t="shared" si="619"/>
        <v>1.6501650000000003</v>
      </c>
      <c r="AD361" s="153">
        <f t="shared" si="619"/>
        <v>0</v>
      </c>
      <c r="AE361" s="153">
        <f t="shared" si="619"/>
        <v>0</v>
      </c>
      <c r="AF361" s="153">
        <f t="shared" si="619"/>
        <v>0.14144271428571431</v>
      </c>
      <c r="AG361" s="153">
        <f t="shared" si="619"/>
        <v>0</v>
      </c>
      <c r="AH361" s="153">
        <f t="shared" si="619"/>
        <v>2.3573785714285718</v>
      </c>
      <c r="AI361" s="153">
        <v>0</v>
      </c>
      <c r="AJ361" s="160">
        <f t="shared" si="619"/>
        <v>0.23573785714285717</v>
      </c>
      <c r="AK361" s="153">
        <f t="shared" si="619"/>
        <v>0.23573785714285717</v>
      </c>
      <c r="AL361" s="163">
        <f t="shared" si="597"/>
        <v>0.42432814285714299</v>
      </c>
      <c r="AM361" s="36">
        <v>1.0900000000000001</v>
      </c>
      <c r="AN361" s="38">
        <v>0</v>
      </c>
      <c r="AP361" s="38">
        <v>0</v>
      </c>
      <c r="AQ361" s="165">
        <v>0.3</v>
      </c>
      <c r="AR361" s="164">
        <v>1.72</v>
      </c>
      <c r="AS361" s="166">
        <v>1.72</v>
      </c>
      <c r="AT361" s="166">
        <v>0.26</v>
      </c>
      <c r="AU361" s="168">
        <f>(AS361*365)*(AT361*0.67*0.01*1)</f>
        <v>1.0936276</v>
      </c>
      <c r="AV361" s="168">
        <f>(AS361*365)*(AT361*0.67*0.001*1)</f>
        <v>0.10936276000000002</v>
      </c>
      <c r="AW361" s="170"/>
      <c r="AX361" s="168">
        <f>(AS361*365)*(AT361*0.67*0.02*1)</f>
        <v>2.1872552000000001</v>
      </c>
      <c r="AY361" s="168">
        <f>(AS361*365)*(AT361*0.67*0.01*1)</f>
        <v>1.0936276</v>
      </c>
      <c r="AZ361" s="169">
        <f>(AR361*365)*(AS361*0.67*0.25*1)</f>
        <v>180.86918</v>
      </c>
      <c r="BA361" s="168">
        <f>(AS361*365)*(AT361*0.67*0.25*1)</f>
        <v>27.340690000000002</v>
      </c>
      <c r="BB361" s="168">
        <f>(AS361*365)*(AT361*0.67*0.73*1)</f>
        <v>79.83481479999999</v>
      </c>
      <c r="BC361" s="168">
        <f>(AS361*365)*(AT361*0.67*0.03*1)</f>
        <v>3.2808828000000001</v>
      </c>
      <c r="BD361" s="170"/>
      <c r="BE361" s="168">
        <f>(AS361*365)*(AT361*0.67*0.25*1)</f>
        <v>27.340690000000002</v>
      </c>
      <c r="BF361" s="168">
        <f t="shared" si="598"/>
        <v>109.36276000000001</v>
      </c>
      <c r="BG361" s="169">
        <f t="shared" si="599"/>
        <v>72.347672000000003</v>
      </c>
      <c r="BH361" s="168">
        <f t="shared" si="599"/>
        <v>10.936275999999999</v>
      </c>
      <c r="BI361" s="168">
        <f t="shared" si="600"/>
        <v>0.54681380000000002</v>
      </c>
      <c r="BJ361" s="168">
        <f>(AS361*365)*(AT361*0.67*0.005*1)</f>
        <v>0.54681380000000002</v>
      </c>
      <c r="BK361" s="168">
        <v>0</v>
      </c>
      <c r="BL361" s="168">
        <v>0</v>
      </c>
      <c r="BM361" s="168">
        <f>(BA361*365)*(BB361*0.67*0.25*1)</f>
        <v>133447.2008837719</v>
      </c>
      <c r="BN361" s="168">
        <f t="shared" ref="BN361:BN372" si="620">(BA361*365)*(BB361*0.67*1*1)</f>
        <v>533788.80353508762</v>
      </c>
      <c r="BO361" s="169">
        <f t="shared" ref="BO361:BP372" si="621">(AZ361*365)*(BA361*0.67*0.1*1)</f>
        <v>120932.13146474591</v>
      </c>
      <c r="BP361" s="168">
        <f t="shared" si="621"/>
        <v>53378.880353508765</v>
      </c>
      <c r="BQ361" s="168">
        <f>(BA361*365)*(BB361*0.67*0.005*1)</f>
        <v>2668.9440176754379</v>
      </c>
      <c r="BR361" s="168">
        <v>0</v>
      </c>
      <c r="BS361" s="168">
        <v>0</v>
      </c>
      <c r="BT361" s="167">
        <f t="shared" si="603"/>
        <v>32.3056541475</v>
      </c>
      <c r="BU361" s="168"/>
      <c r="BV361" s="169"/>
      <c r="BW361" s="168"/>
      <c r="BX361" s="168"/>
      <c r="BY361" s="168"/>
      <c r="BZ361" s="168"/>
      <c r="CA361" s="167"/>
      <c r="CC361" s="117"/>
      <c r="CD361" s="118" t="str">
        <f t="shared" si="604"/>
        <v>Caballos - Clima Frío</v>
      </c>
      <c r="CE361" s="99" t="s">
        <v>628</v>
      </c>
      <c r="CF361" s="172">
        <f t="shared" si="606"/>
        <v>32.3056541475</v>
      </c>
      <c r="CG361" s="99" t="s">
        <v>577</v>
      </c>
      <c r="CH361" s="105">
        <v>0.2</v>
      </c>
      <c r="CI361" s="105">
        <v>0.5</v>
      </c>
      <c r="CJ361" s="104" t="s">
        <v>385</v>
      </c>
      <c r="CK361" s="172">
        <f t="shared" si="605"/>
        <v>0.42432814285714299</v>
      </c>
      <c r="CL361" s="99" t="s">
        <v>629</v>
      </c>
      <c r="CM361" s="105">
        <v>0.2</v>
      </c>
      <c r="CN361" s="105">
        <v>0.5</v>
      </c>
      <c r="CO361" s="104" t="s">
        <v>385</v>
      </c>
      <c r="CP361" s="174"/>
      <c r="CQ361" s="103">
        <v>27.25</v>
      </c>
      <c r="CR361" s="99" t="s">
        <v>574</v>
      </c>
      <c r="CS361" s="174"/>
      <c r="CT361" s="103">
        <v>370.88228571428601</v>
      </c>
      <c r="CU361" s="99" t="s">
        <v>574</v>
      </c>
      <c r="CV361" s="48"/>
      <c r="CW361" s="48"/>
      <c r="CX361" s="46"/>
      <c r="CY361" s="46"/>
      <c r="CZ361" s="48"/>
      <c r="DA361" s="48"/>
      <c r="DB361" s="48"/>
      <c r="DC361" s="48"/>
      <c r="DD361" s="46"/>
      <c r="DE361" s="46"/>
      <c r="DF361" s="48"/>
      <c r="DG361" s="48"/>
      <c r="DH361" s="48"/>
      <c r="DI361" s="49"/>
      <c r="DJ361" s="50">
        <v>0.2</v>
      </c>
      <c r="DK361" s="50">
        <v>0.25</v>
      </c>
      <c r="DS361" s="37" t="s">
        <v>663</v>
      </c>
      <c r="DT361" s="37">
        <v>1.0900000000000001</v>
      </c>
      <c r="DU361" s="78">
        <f t="shared" si="607"/>
        <v>22.89</v>
      </c>
      <c r="DV361" s="78">
        <f t="shared" si="608"/>
        <v>27.250000000000004</v>
      </c>
      <c r="DW361" s="37">
        <v>40</v>
      </c>
      <c r="DX361" s="37">
        <v>0.99</v>
      </c>
      <c r="DY361" s="78">
        <f t="shared" si="609"/>
        <v>39.6</v>
      </c>
      <c r="DZ361" s="37">
        <v>0.02</v>
      </c>
      <c r="EA361" s="176">
        <f t="shared" si="610"/>
        <v>1.2445714285714284</v>
      </c>
      <c r="EB361" s="176">
        <f t="shared" si="611"/>
        <v>385.81714285714281</v>
      </c>
      <c r="EC361" s="176">
        <f t="shared" si="612"/>
        <v>370.88228571428567</v>
      </c>
      <c r="ED361" s="177">
        <f t="shared" si="613"/>
        <v>408.7071428571428</v>
      </c>
      <c r="EE361" s="177">
        <f t="shared" si="613"/>
        <v>398.13228571428567</v>
      </c>
      <c r="EF361" s="49" t="s">
        <v>628</v>
      </c>
      <c r="EG361" s="37" t="s">
        <v>631</v>
      </c>
    </row>
    <row r="362" spans="17:137" s="37" customFormat="1" ht="28.15" hidden="1" thickBot="1">
      <c r="Q362" s="127" t="s">
        <v>664</v>
      </c>
      <c r="S362" s="150">
        <v>1.37</v>
      </c>
      <c r="T362" s="150">
        <v>30</v>
      </c>
      <c r="U362" s="153">
        <f t="shared" si="619"/>
        <v>0</v>
      </c>
      <c r="V362" s="153">
        <f t="shared" si="619"/>
        <v>0</v>
      </c>
      <c r="W362" s="153">
        <f t="shared" si="619"/>
        <v>0.11786892857142858</v>
      </c>
      <c r="X362" s="152">
        <f t="shared" si="619"/>
        <v>0.47147571428571433</v>
      </c>
      <c r="Y362" s="153">
        <f t="shared" si="619"/>
        <v>0.11786892857142858</v>
      </c>
      <c r="Z362" s="153">
        <f t="shared" si="619"/>
        <v>0</v>
      </c>
      <c r="AA362" s="153">
        <f t="shared" si="619"/>
        <v>0.23573785714285717</v>
      </c>
      <c r="AB362" s="156">
        <f t="shared" si="619"/>
        <v>1.6501650000000003</v>
      </c>
      <c r="AC362" s="153">
        <f t="shared" si="619"/>
        <v>1.6501650000000003</v>
      </c>
      <c r="AD362" s="153">
        <f t="shared" si="619"/>
        <v>0</v>
      </c>
      <c r="AE362" s="153">
        <f t="shared" si="619"/>
        <v>0</v>
      </c>
      <c r="AF362" s="153">
        <f t="shared" si="619"/>
        <v>0.14144271428571431</v>
      </c>
      <c r="AG362" s="153">
        <f t="shared" si="619"/>
        <v>0</v>
      </c>
      <c r="AH362" s="153">
        <f t="shared" si="619"/>
        <v>2.3573785714285718</v>
      </c>
      <c r="AI362" s="153">
        <v>0</v>
      </c>
      <c r="AJ362" s="160">
        <f t="shared" si="619"/>
        <v>0.23573785714285717</v>
      </c>
      <c r="AK362" s="153">
        <f t="shared" si="619"/>
        <v>0.23573785714285717</v>
      </c>
      <c r="AL362" s="163">
        <f t="shared" si="597"/>
        <v>0.42432814285714299</v>
      </c>
      <c r="AM362" s="36">
        <v>1.64</v>
      </c>
      <c r="AN362" s="38">
        <v>0</v>
      </c>
      <c r="AP362" s="38">
        <v>0</v>
      </c>
      <c r="AQ362" s="165">
        <v>0.3</v>
      </c>
      <c r="AR362" s="164">
        <v>1.72</v>
      </c>
      <c r="AS362" s="166">
        <v>1.72</v>
      </c>
      <c r="AT362" s="166">
        <v>0.26</v>
      </c>
      <c r="AU362" s="168">
        <f>(AS362*365)*(AT362*0.67*0.015*1)</f>
        <v>1.6404414</v>
      </c>
      <c r="AV362" s="168">
        <f>(AS362*365)*(AT362*0.67*0.005*1)</f>
        <v>0.54681380000000002</v>
      </c>
      <c r="AW362" s="170"/>
      <c r="AX362" s="168">
        <f>(AS362*365)*(AT362*0.67*0.04*1)</f>
        <v>4.3745104000000001</v>
      </c>
      <c r="AY362" s="168">
        <f>(AS362*365)*(AT362*0.67*0.015*1)</f>
        <v>1.6404414</v>
      </c>
      <c r="AZ362" s="169">
        <f>(AR362*365)*(AS362*0.67*0.65*1)</f>
        <v>470.25986799999998</v>
      </c>
      <c r="BA362" s="168">
        <f>(AS362*365)*(AT362*0.67*0.65*1)</f>
        <v>71.085794000000007</v>
      </c>
      <c r="BB362" s="168">
        <f>(AS362*365)*(AT362*0.67*0.79*1)</f>
        <v>86.396580400000005</v>
      </c>
      <c r="BC362" s="168">
        <f>(AS362*365)*(AT362*0.67*0.03*1)</f>
        <v>3.2808828000000001</v>
      </c>
      <c r="BD362" s="170"/>
      <c r="BE362" s="168">
        <f>(AS362*365)*(AT362*0.67*0.65*1)</f>
        <v>71.085794000000007</v>
      </c>
      <c r="BF362" s="168">
        <f t="shared" si="598"/>
        <v>109.36276000000001</v>
      </c>
      <c r="BG362" s="169">
        <f t="shared" si="599"/>
        <v>72.347672000000003</v>
      </c>
      <c r="BH362" s="168">
        <f t="shared" si="599"/>
        <v>10.936275999999999</v>
      </c>
      <c r="BI362" s="168">
        <f t="shared" si="600"/>
        <v>0.54681380000000002</v>
      </c>
      <c r="BJ362" s="168">
        <f>(AS362*365)*(AT362*0.67*0.01*1)</f>
        <v>1.0936276</v>
      </c>
      <c r="BK362" s="168">
        <v>0</v>
      </c>
      <c r="BL362" s="168">
        <v>0</v>
      </c>
      <c r="BM362" s="168">
        <f>(BA362*365)*(BB362*0.67*0.65*1)</f>
        <v>976248.53643793927</v>
      </c>
      <c r="BN362" s="168">
        <f t="shared" si="620"/>
        <v>1501920.8252891372</v>
      </c>
      <c r="BO362" s="169">
        <f t="shared" si="621"/>
        <v>817501.20870168204</v>
      </c>
      <c r="BP362" s="168">
        <f t="shared" si="621"/>
        <v>150192.08252891374</v>
      </c>
      <c r="BQ362" s="168">
        <f>(BA362*365)*(BB362*0.67*0.01*1)</f>
        <v>15019.208252891371</v>
      </c>
      <c r="BR362" s="168">
        <v>0</v>
      </c>
      <c r="BS362" s="168">
        <v>0</v>
      </c>
      <c r="BT362" s="167">
        <f t="shared" si="603"/>
        <v>56.537392224999991</v>
      </c>
      <c r="BU362" s="168"/>
      <c r="BV362" s="169"/>
      <c r="BW362" s="168"/>
      <c r="BX362" s="168"/>
      <c r="BY362" s="168"/>
      <c r="BZ362" s="168"/>
      <c r="CA362" s="167"/>
      <c r="CC362" s="117"/>
      <c r="CD362" s="118" t="str">
        <f t="shared" si="604"/>
        <v>Caballos - Clima Templado</v>
      </c>
      <c r="CE362" s="99" t="s">
        <v>628</v>
      </c>
      <c r="CF362" s="172">
        <f t="shared" si="606"/>
        <v>56.537392224999991</v>
      </c>
      <c r="CG362" s="99" t="s">
        <v>577</v>
      </c>
      <c r="CH362" s="105">
        <v>0.2</v>
      </c>
      <c r="CI362" s="105">
        <v>0.5</v>
      </c>
      <c r="CJ362" s="104" t="s">
        <v>385</v>
      </c>
      <c r="CK362" s="172">
        <f t="shared" si="605"/>
        <v>0.42432814285714299</v>
      </c>
      <c r="CL362" s="99" t="s">
        <v>629</v>
      </c>
      <c r="CM362" s="105">
        <v>0.2</v>
      </c>
      <c r="CN362" s="105">
        <v>0.5</v>
      </c>
      <c r="CO362" s="104" t="s">
        <v>385</v>
      </c>
      <c r="CP362" s="174"/>
      <c r="CQ362" s="103">
        <v>41</v>
      </c>
      <c r="CR362" s="99" t="s">
        <v>574</v>
      </c>
      <c r="CS362" s="174"/>
      <c r="CT362" s="103">
        <v>370.88228571428601</v>
      </c>
      <c r="CU362" s="99" t="s">
        <v>574</v>
      </c>
      <c r="CV362" s="48"/>
      <c r="CW362" s="48"/>
      <c r="CX362" s="46"/>
      <c r="CY362" s="46"/>
      <c r="CZ362" s="48"/>
      <c r="DA362" s="48"/>
      <c r="DB362" s="48"/>
      <c r="DC362" s="48"/>
      <c r="DD362" s="46"/>
      <c r="DE362" s="46"/>
      <c r="DF362" s="48"/>
      <c r="DG362" s="48"/>
      <c r="DH362" s="48"/>
      <c r="DI362" s="49"/>
      <c r="DJ362" s="50">
        <v>0.2</v>
      </c>
      <c r="DK362" s="50">
        <v>0.25</v>
      </c>
      <c r="DS362" s="37" t="s">
        <v>664</v>
      </c>
      <c r="DT362" s="37">
        <v>1.64</v>
      </c>
      <c r="DU362" s="78">
        <f t="shared" si="607"/>
        <v>34.44</v>
      </c>
      <c r="DV362" s="78">
        <f t="shared" si="608"/>
        <v>41</v>
      </c>
      <c r="DW362" s="37">
        <v>40</v>
      </c>
      <c r="DX362" s="37">
        <v>0.99</v>
      </c>
      <c r="DY362" s="78">
        <f t="shared" si="609"/>
        <v>39.6</v>
      </c>
      <c r="DZ362" s="37">
        <v>0.02</v>
      </c>
      <c r="EA362" s="176">
        <f t="shared" si="610"/>
        <v>1.2445714285714284</v>
      </c>
      <c r="EB362" s="176">
        <f t="shared" si="611"/>
        <v>385.81714285714281</v>
      </c>
      <c r="EC362" s="176">
        <f t="shared" si="612"/>
        <v>370.88228571428567</v>
      </c>
      <c r="ED362" s="177">
        <f t="shared" si="613"/>
        <v>420.25714285714281</v>
      </c>
      <c r="EE362" s="177">
        <f t="shared" si="613"/>
        <v>411.88228571428567</v>
      </c>
      <c r="EF362" s="49" t="s">
        <v>628</v>
      </c>
      <c r="EG362" s="37" t="s">
        <v>631</v>
      </c>
    </row>
    <row r="363" spans="17:137" s="37" customFormat="1" ht="28.15" hidden="1" thickBot="1">
      <c r="Q363" s="127" t="s">
        <v>665</v>
      </c>
      <c r="S363" s="150">
        <v>1.37</v>
      </c>
      <c r="T363" s="150">
        <v>30</v>
      </c>
      <c r="U363" s="153">
        <f t="shared" si="619"/>
        <v>0</v>
      </c>
      <c r="V363" s="153">
        <f t="shared" si="619"/>
        <v>0</v>
      </c>
      <c r="W363" s="153">
        <f t="shared" si="619"/>
        <v>0.11786892857142858</v>
      </c>
      <c r="X363" s="152">
        <f t="shared" si="619"/>
        <v>0.47147571428571433</v>
      </c>
      <c r="Y363" s="153">
        <f t="shared" si="619"/>
        <v>0.11786892857142858</v>
      </c>
      <c r="Z363" s="153">
        <f t="shared" si="619"/>
        <v>0</v>
      </c>
      <c r="AA363" s="153">
        <f t="shared" si="619"/>
        <v>0.23573785714285717</v>
      </c>
      <c r="AB363" s="156">
        <f t="shared" si="619"/>
        <v>1.6501650000000003</v>
      </c>
      <c r="AC363" s="153">
        <f t="shared" si="619"/>
        <v>1.6501650000000003</v>
      </c>
      <c r="AD363" s="153">
        <f t="shared" si="619"/>
        <v>0</v>
      </c>
      <c r="AE363" s="153">
        <f t="shared" si="619"/>
        <v>0</v>
      </c>
      <c r="AF363" s="153">
        <f t="shared" si="619"/>
        <v>0.14144271428571431</v>
      </c>
      <c r="AG363" s="153">
        <f t="shared" si="619"/>
        <v>0</v>
      </c>
      <c r="AH363" s="153">
        <f t="shared" si="619"/>
        <v>2.3573785714285718</v>
      </c>
      <c r="AI363" s="153">
        <v>0</v>
      </c>
      <c r="AJ363" s="160">
        <f t="shared" si="619"/>
        <v>0.23573785714285717</v>
      </c>
      <c r="AK363" s="153">
        <f t="shared" si="619"/>
        <v>0.23573785714285717</v>
      </c>
      <c r="AL363" s="163">
        <f t="shared" si="597"/>
        <v>0.42432814285714299</v>
      </c>
      <c r="AM363" s="36">
        <v>2.19</v>
      </c>
      <c r="AN363" s="38">
        <v>0</v>
      </c>
      <c r="AP363" s="38">
        <v>0</v>
      </c>
      <c r="AQ363" s="165">
        <v>0.3</v>
      </c>
      <c r="AR363" s="164">
        <v>1.72</v>
      </c>
      <c r="AS363" s="166">
        <v>1.72</v>
      </c>
      <c r="AT363" s="166">
        <v>0.26</v>
      </c>
      <c r="AU363" s="168">
        <f>(AS363*365)*(AT363*0.67*0.02*1)</f>
        <v>2.1872552000000001</v>
      </c>
      <c r="AV363" s="168">
        <f>(AS363*365)*(AT363*0.67*0.01*1)</f>
        <v>1.0936276</v>
      </c>
      <c r="AW363" s="170"/>
      <c r="AX363" s="168">
        <f>(AS363*365)*(AT363*0.67*0.05*1)</f>
        <v>5.4681379999999997</v>
      </c>
      <c r="AY363" s="168">
        <f>(AS363*365)*(AT363*0.67*0.02*1)</f>
        <v>2.1872552000000001</v>
      </c>
      <c r="AZ363" s="169">
        <f>(AR363*365)*(AS363*0.67*0.8*1)</f>
        <v>578.78137600000002</v>
      </c>
      <c r="BA363" s="168">
        <f>(AS363*365)*(AT363*0.67*0.8*1)</f>
        <v>87.490207999999996</v>
      </c>
      <c r="BB363" s="168">
        <f>(AS363*365)*(AT363*0.67*0.8*1)</f>
        <v>87.490207999999996</v>
      </c>
      <c r="BC363" s="168">
        <f>(AS363*365)*(AT363*0.67*0.3*1)</f>
        <v>32.808828000000005</v>
      </c>
      <c r="BD363" s="170"/>
      <c r="BE363" s="168">
        <f>(AS363*365)*(AT363*0.67*0.8*1)</f>
        <v>87.490207999999996</v>
      </c>
      <c r="BF363" s="168">
        <f t="shared" si="598"/>
        <v>109.36276000000001</v>
      </c>
      <c r="BG363" s="169">
        <f t="shared" si="599"/>
        <v>72.347672000000003</v>
      </c>
      <c r="BH363" s="168">
        <f t="shared" si="599"/>
        <v>10.936275999999999</v>
      </c>
      <c r="BI363" s="168">
        <f t="shared" si="600"/>
        <v>0.54681380000000002</v>
      </c>
      <c r="BJ363" s="168">
        <f>(AS363*365)*(AT363*0.67*0.015*1)</f>
        <v>1.6404414</v>
      </c>
      <c r="BK363" s="168">
        <v>0</v>
      </c>
      <c r="BL363" s="168">
        <v>0</v>
      </c>
      <c r="BM363" s="168">
        <f>(BA363*365)*(BB363*0.67*0.8*1)</f>
        <v>1497533.5200546018</v>
      </c>
      <c r="BN363" s="168">
        <f t="shared" si="620"/>
        <v>1871916.9000682521</v>
      </c>
      <c r="BO363" s="169">
        <f t="shared" si="621"/>
        <v>1238345.0261989979</v>
      </c>
      <c r="BP363" s="168">
        <f t="shared" si="621"/>
        <v>187191.69000682523</v>
      </c>
      <c r="BQ363" s="168">
        <f>(BA363*365)*(BB363*0.67*0.015*1)</f>
        <v>28078.753501023784</v>
      </c>
      <c r="BR363" s="168">
        <v>0</v>
      </c>
      <c r="BS363" s="168">
        <v>0</v>
      </c>
      <c r="BT363" s="167">
        <f t="shared" si="603"/>
        <v>67.4894417</v>
      </c>
      <c r="BU363" s="168"/>
      <c r="BV363" s="169"/>
      <c r="BW363" s="168"/>
      <c r="BX363" s="168"/>
      <c r="BY363" s="168"/>
      <c r="BZ363" s="168"/>
      <c r="CA363" s="167"/>
      <c r="CC363" s="117"/>
      <c r="CD363" s="118" t="str">
        <f t="shared" si="604"/>
        <v>Caballos - Clima Cálido</v>
      </c>
      <c r="CE363" s="99" t="s">
        <v>628</v>
      </c>
      <c r="CF363" s="172">
        <f t="shared" si="606"/>
        <v>67.4894417</v>
      </c>
      <c r="CG363" s="99" t="s">
        <v>577</v>
      </c>
      <c r="CH363" s="105">
        <v>0.2</v>
      </c>
      <c r="CI363" s="105">
        <v>0.5</v>
      </c>
      <c r="CJ363" s="104" t="s">
        <v>385</v>
      </c>
      <c r="CK363" s="172">
        <f t="shared" si="605"/>
        <v>0.42432814285714299</v>
      </c>
      <c r="CL363" s="99" t="s">
        <v>629</v>
      </c>
      <c r="CM363" s="105">
        <v>0.2</v>
      </c>
      <c r="CN363" s="105">
        <v>0.5</v>
      </c>
      <c r="CO363" s="104" t="s">
        <v>385</v>
      </c>
      <c r="CP363" s="173"/>
      <c r="CQ363" s="103">
        <v>54.5</v>
      </c>
      <c r="CR363" s="99" t="s">
        <v>574</v>
      </c>
      <c r="CS363" s="173"/>
      <c r="CT363" s="103">
        <v>370.88228571428601</v>
      </c>
      <c r="CU363" s="99" t="s">
        <v>574</v>
      </c>
      <c r="CV363" s="46"/>
      <c r="CW363" s="48"/>
      <c r="CX363" s="46"/>
      <c r="CY363" s="46"/>
      <c r="CZ363" s="48"/>
      <c r="DA363" s="48"/>
      <c r="DB363" s="48"/>
      <c r="DC363" s="48"/>
      <c r="DD363" s="46"/>
      <c r="DE363" s="46"/>
      <c r="DF363" s="48"/>
      <c r="DG363" s="48"/>
      <c r="DH363" s="48"/>
      <c r="DI363" s="49"/>
      <c r="DJ363" s="50">
        <v>0.2</v>
      </c>
      <c r="DK363" s="50">
        <v>0.25</v>
      </c>
      <c r="DS363" s="37" t="s">
        <v>665</v>
      </c>
      <c r="DT363" s="37">
        <v>2.1800000000000002</v>
      </c>
      <c r="DU363" s="78">
        <f t="shared" si="607"/>
        <v>45.78</v>
      </c>
      <c r="DV363" s="78">
        <f t="shared" si="608"/>
        <v>54.500000000000007</v>
      </c>
      <c r="DW363" s="37">
        <v>40</v>
      </c>
      <c r="DX363" s="37">
        <v>0.99</v>
      </c>
      <c r="DY363" s="78">
        <f t="shared" si="609"/>
        <v>39.6</v>
      </c>
      <c r="DZ363" s="37">
        <v>0.02</v>
      </c>
      <c r="EA363" s="176">
        <f t="shared" si="610"/>
        <v>1.2445714285714284</v>
      </c>
      <c r="EB363" s="176">
        <f t="shared" si="611"/>
        <v>385.81714285714281</v>
      </c>
      <c r="EC363" s="176">
        <f t="shared" si="612"/>
        <v>370.88228571428567</v>
      </c>
      <c r="ED363" s="177">
        <f t="shared" si="613"/>
        <v>431.59714285714279</v>
      </c>
      <c r="EE363" s="177">
        <f t="shared" si="613"/>
        <v>425.38228571428567</v>
      </c>
      <c r="EF363" s="49" t="s">
        <v>628</v>
      </c>
      <c r="EG363" s="37" t="s">
        <v>631</v>
      </c>
    </row>
    <row r="364" spans="17:137" s="37" customFormat="1" ht="28.15" hidden="1" thickBot="1">
      <c r="Q364" s="127" t="s">
        <v>666</v>
      </c>
      <c r="S364" s="150">
        <v>1.37</v>
      </c>
      <c r="T364" s="150">
        <v>30</v>
      </c>
      <c r="U364" s="153">
        <f t="shared" si="619"/>
        <v>0</v>
      </c>
      <c r="V364" s="153">
        <f t="shared" si="619"/>
        <v>0</v>
      </c>
      <c r="W364" s="153">
        <f t="shared" si="619"/>
        <v>0.11786892857142858</v>
      </c>
      <c r="X364" s="152">
        <f t="shared" si="619"/>
        <v>0.47147571428571433</v>
      </c>
      <c r="Y364" s="153">
        <f t="shared" si="619"/>
        <v>0.11786892857142858</v>
      </c>
      <c r="Z364" s="153">
        <f t="shared" si="619"/>
        <v>0</v>
      </c>
      <c r="AA364" s="153">
        <f t="shared" si="619"/>
        <v>0.23573785714285717</v>
      </c>
      <c r="AB364" s="156">
        <f t="shared" si="619"/>
        <v>1.6501650000000003</v>
      </c>
      <c r="AC364" s="153">
        <f t="shared" si="619"/>
        <v>1.6501650000000003</v>
      </c>
      <c r="AD364" s="153">
        <f t="shared" si="619"/>
        <v>0</v>
      </c>
      <c r="AE364" s="153">
        <f t="shared" si="619"/>
        <v>0</v>
      </c>
      <c r="AF364" s="153">
        <f t="shared" si="619"/>
        <v>0.14144271428571431</v>
      </c>
      <c r="AG364" s="153">
        <f t="shared" si="619"/>
        <v>0</v>
      </c>
      <c r="AH364" s="153">
        <f t="shared" si="619"/>
        <v>2.3573785714285718</v>
      </c>
      <c r="AI364" s="153">
        <v>0</v>
      </c>
      <c r="AJ364" s="160">
        <f t="shared" si="619"/>
        <v>0.23573785714285717</v>
      </c>
      <c r="AK364" s="153">
        <f t="shared" si="619"/>
        <v>0.23573785714285717</v>
      </c>
      <c r="AL364" s="163">
        <f t="shared" si="597"/>
        <v>0.42432814285714299</v>
      </c>
      <c r="AM364" s="36">
        <v>0.6</v>
      </c>
      <c r="AN364" s="38">
        <v>0</v>
      </c>
      <c r="AP364" s="38">
        <v>0</v>
      </c>
      <c r="AQ364" s="165">
        <v>0.3</v>
      </c>
      <c r="AR364" s="164">
        <v>0.94</v>
      </c>
      <c r="AS364" s="166">
        <v>0.94</v>
      </c>
      <c r="AT364" s="166">
        <v>0.26</v>
      </c>
      <c r="AU364" s="168">
        <f>(AS364*365)*(AT364*0.67*0.01*1)</f>
        <v>0.59768019999999999</v>
      </c>
      <c r="AV364" s="168">
        <f>(AS364*365)*(AT364*0.67*0.001*1)</f>
        <v>5.9768020000000005E-2</v>
      </c>
      <c r="AW364" s="170"/>
      <c r="AX364" s="168">
        <f>(AS364*365)*(AT364*0.67*0.02*1)</f>
        <v>1.1953604</v>
      </c>
      <c r="AY364" s="168">
        <f>(AS364*365)*(AT364*0.67*0.01*1)</f>
        <v>0.59768019999999999</v>
      </c>
      <c r="AZ364" s="169">
        <f>(AR364*365)*(AS364*0.67*0.25*1)</f>
        <v>54.021094999999995</v>
      </c>
      <c r="BA364" s="168">
        <f>(AS364*365)*(AT364*0.67*0.25*1)</f>
        <v>14.942005</v>
      </c>
      <c r="BB364" s="168">
        <f>(AS364*365)*(AT364*0.67*0.73*1)</f>
        <v>43.630654599999993</v>
      </c>
      <c r="BC364" s="168">
        <f>(AS364*365)*(AT364*0.67*0.03*1)</f>
        <v>1.7930406000000001</v>
      </c>
      <c r="BD364" s="170"/>
      <c r="BE364" s="168">
        <f>(AS364*365)*(AT364*0.67*0.25*1)</f>
        <v>14.942005</v>
      </c>
      <c r="BF364" s="168">
        <f t="shared" si="598"/>
        <v>59.76802</v>
      </c>
      <c r="BG364" s="169">
        <f t="shared" si="599"/>
        <v>21.608438</v>
      </c>
      <c r="BH364" s="168">
        <f t="shared" si="599"/>
        <v>5.9768020000000002</v>
      </c>
      <c r="BI364" s="168">
        <f t="shared" si="600"/>
        <v>0.2988401</v>
      </c>
      <c r="BJ364" s="168">
        <f>(AS364*365)*(AT364*0.67*0.005*1)</f>
        <v>0.2988401</v>
      </c>
      <c r="BK364" s="168">
        <v>0</v>
      </c>
      <c r="BL364" s="168">
        <v>0</v>
      </c>
      <c r="BM364" s="168">
        <f>(BA364*365)*(BB364*0.67*0.25*1)</f>
        <v>39857.337311012991</v>
      </c>
      <c r="BN364" s="168">
        <f t="shared" si="620"/>
        <v>159429.34924405196</v>
      </c>
      <c r="BO364" s="169">
        <f t="shared" si="621"/>
        <v>19739.671797867344</v>
      </c>
      <c r="BP364" s="168">
        <f t="shared" si="621"/>
        <v>15942.934924405197</v>
      </c>
      <c r="BQ364" s="168">
        <f>(BA364*365)*(BB364*0.67*0.005*1)</f>
        <v>797.14674622025973</v>
      </c>
      <c r="BR364" s="168">
        <v>0</v>
      </c>
      <c r="BS364" s="168">
        <v>0</v>
      </c>
      <c r="BT364" s="167">
        <f t="shared" si="603"/>
        <v>13.733139326250001</v>
      </c>
      <c r="BU364" s="168"/>
      <c r="BV364" s="169"/>
      <c r="BW364" s="168"/>
      <c r="BX364" s="168"/>
      <c r="BY364" s="168"/>
      <c r="BZ364" s="168"/>
      <c r="CA364" s="167"/>
      <c r="CC364" s="117"/>
      <c r="CD364" s="118" t="str">
        <f t="shared" si="604"/>
        <v>Mulas y Asnos - Clima Frío</v>
      </c>
      <c r="CE364" s="99" t="s">
        <v>628</v>
      </c>
      <c r="CF364" s="172">
        <f t="shared" si="606"/>
        <v>13.733139326250001</v>
      </c>
      <c r="CG364" s="99" t="s">
        <v>577</v>
      </c>
      <c r="CH364" s="105">
        <v>0.2</v>
      </c>
      <c r="CI364" s="105">
        <v>0.5</v>
      </c>
      <c r="CJ364" s="104" t="s">
        <v>385</v>
      </c>
      <c r="CK364" s="172">
        <f t="shared" si="605"/>
        <v>0.42432814285714299</v>
      </c>
      <c r="CL364" s="99" t="s">
        <v>629</v>
      </c>
      <c r="CM364" s="105">
        <v>0.2</v>
      </c>
      <c r="CN364" s="105">
        <v>0.5</v>
      </c>
      <c r="CO364" s="104" t="s">
        <v>385</v>
      </c>
      <c r="CP364" s="173"/>
      <c r="CQ364" s="103">
        <v>15</v>
      </c>
      <c r="CR364" s="99" t="s">
        <v>574</v>
      </c>
      <c r="CS364" s="173"/>
      <c r="CT364" s="103">
        <v>370.88228571428601</v>
      </c>
      <c r="CU364" s="99" t="s">
        <v>574</v>
      </c>
      <c r="CV364" s="46"/>
      <c r="CW364" s="48"/>
      <c r="CX364" s="46"/>
      <c r="CY364" s="46"/>
      <c r="CZ364" s="48"/>
      <c r="DA364" s="48"/>
      <c r="DB364" s="48"/>
      <c r="DC364" s="48"/>
      <c r="DD364" s="46"/>
      <c r="DE364" s="46"/>
      <c r="DF364" s="48"/>
      <c r="DG364" s="48"/>
      <c r="DH364" s="48"/>
      <c r="DI364" s="49"/>
      <c r="DJ364" s="50">
        <v>0.2</v>
      </c>
      <c r="DK364" s="50">
        <v>0.25</v>
      </c>
      <c r="DS364" s="37" t="s">
        <v>666</v>
      </c>
      <c r="DT364" s="37">
        <v>0.6</v>
      </c>
      <c r="DU364" s="78">
        <f t="shared" si="607"/>
        <v>12.6</v>
      </c>
      <c r="DV364" s="78">
        <f t="shared" si="608"/>
        <v>15</v>
      </c>
      <c r="DW364" s="37">
        <v>40</v>
      </c>
      <c r="DX364" s="37">
        <v>0.99</v>
      </c>
      <c r="DY364" s="78">
        <f t="shared" si="609"/>
        <v>39.6</v>
      </c>
      <c r="DZ364" s="37">
        <v>0.02</v>
      </c>
      <c r="EA364" s="176">
        <f t="shared" si="610"/>
        <v>1.2445714285714284</v>
      </c>
      <c r="EB364" s="176">
        <f t="shared" si="611"/>
        <v>385.81714285714281</v>
      </c>
      <c r="EC364" s="176">
        <f t="shared" si="612"/>
        <v>370.88228571428567</v>
      </c>
      <c r="ED364" s="177">
        <f t="shared" si="613"/>
        <v>398.41714285714284</v>
      </c>
      <c r="EE364" s="177">
        <f t="shared" si="613"/>
        <v>385.88228571428567</v>
      </c>
      <c r="EF364" s="49" t="s">
        <v>628</v>
      </c>
      <c r="EG364" s="37" t="s">
        <v>631</v>
      </c>
    </row>
    <row r="365" spans="17:137" s="37" customFormat="1" ht="28.15" hidden="1" thickBot="1">
      <c r="Q365" s="127" t="s">
        <v>667</v>
      </c>
      <c r="S365" s="150">
        <v>1.37</v>
      </c>
      <c r="T365" s="150">
        <v>30</v>
      </c>
      <c r="U365" s="153">
        <f t="shared" si="619"/>
        <v>0</v>
      </c>
      <c r="V365" s="153">
        <f t="shared" si="619"/>
        <v>0</v>
      </c>
      <c r="W365" s="153">
        <f t="shared" si="619"/>
        <v>0.11786892857142858</v>
      </c>
      <c r="X365" s="152">
        <f t="shared" si="619"/>
        <v>0.47147571428571433</v>
      </c>
      <c r="Y365" s="153">
        <f t="shared" si="619"/>
        <v>0.11786892857142858</v>
      </c>
      <c r="Z365" s="153">
        <f t="shared" si="619"/>
        <v>0</v>
      </c>
      <c r="AA365" s="153">
        <f t="shared" si="619"/>
        <v>0.23573785714285717</v>
      </c>
      <c r="AB365" s="156">
        <f t="shared" si="619"/>
        <v>1.6501650000000003</v>
      </c>
      <c r="AC365" s="153">
        <f t="shared" si="619"/>
        <v>1.6501650000000003</v>
      </c>
      <c r="AD365" s="153">
        <f t="shared" si="619"/>
        <v>0</v>
      </c>
      <c r="AE365" s="153">
        <f t="shared" si="619"/>
        <v>0</v>
      </c>
      <c r="AF365" s="153">
        <f t="shared" si="619"/>
        <v>0.14144271428571431</v>
      </c>
      <c r="AG365" s="153">
        <f t="shared" si="619"/>
        <v>0</v>
      </c>
      <c r="AH365" s="153">
        <f t="shared" si="619"/>
        <v>2.3573785714285718</v>
      </c>
      <c r="AI365" s="153">
        <v>0</v>
      </c>
      <c r="AJ365" s="160">
        <f t="shared" si="619"/>
        <v>0.23573785714285717</v>
      </c>
      <c r="AK365" s="153">
        <f t="shared" si="619"/>
        <v>0.23573785714285717</v>
      </c>
      <c r="AL365" s="163">
        <f t="shared" si="597"/>
        <v>0.42432814285714299</v>
      </c>
      <c r="AM365" s="36">
        <v>0.9</v>
      </c>
      <c r="AN365" s="38">
        <v>0</v>
      </c>
      <c r="AP365" s="38">
        <v>0</v>
      </c>
      <c r="AQ365" s="165">
        <v>0.3</v>
      </c>
      <c r="AR365" s="164">
        <v>0.94</v>
      </c>
      <c r="AS365" s="166">
        <v>0.94</v>
      </c>
      <c r="AT365" s="166">
        <v>0.26</v>
      </c>
      <c r="AU365" s="168">
        <f>(AS365*365)*(AT365*0.67*0.015*1)</f>
        <v>0.89652030000000005</v>
      </c>
      <c r="AV365" s="168">
        <f>(AS365*365)*(AT365*0.67*0.005*1)</f>
        <v>0.2988401</v>
      </c>
      <c r="AW365" s="170"/>
      <c r="AX365" s="168">
        <f>(AS365*365)*(AT365*0.67*0.04*1)</f>
        <v>2.3907208</v>
      </c>
      <c r="AY365" s="168">
        <f>(AS365*365)*(AT365*0.67*0.015*1)</f>
        <v>0.89652030000000005</v>
      </c>
      <c r="AZ365" s="169">
        <f>(AR365*365)*(AS365*0.67*0.65*1)</f>
        <v>140.454847</v>
      </c>
      <c r="BA365" s="168">
        <f>(AS365*365)*(AT365*0.67*0.65*1)</f>
        <v>38.849212999999999</v>
      </c>
      <c r="BB365" s="168">
        <f>(AS365*365)*(AT365*0.67*0.79*1)</f>
        <v>47.216735800000002</v>
      </c>
      <c r="BC365" s="168">
        <f>(AS365*365)*(AT365*0.67*0.03*1)</f>
        <v>1.7930406000000001</v>
      </c>
      <c r="BD365" s="170"/>
      <c r="BE365" s="168">
        <f>(AS365*365)*(AT365*0.67*0.65*1)</f>
        <v>38.849212999999999</v>
      </c>
      <c r="BF365" s="168">
        <f t="shared" si="598"/>
        <v>59.76802</v>
      </c>
      <c r="BG365" s="169">
        <f t="shared" si="599"/>
        <v>21.608438</v>
      </c>
      <c r="BH365" s="168">
        <f t="shared" si="599"/>
        <v>5.9768020000000002</v>
      </c>
      <c r="BI365" s="168">
        <f t="shared" si="600"/>
        <v>0.2988401</v>
      </c>
      <c r="BJ365" s="168">
        <f>(AS365*365)*(AT365*0.67*0.01*1)</f>
        <v>0.59768019999999999</v>
      </c>
      <c r="BK365" s="168">
        <v>0</v>
      </c>
      <c r="BL365" s="168">
        <v>0</v>
      </c>
      <c r="BM365" s="168">
        <f>(BA365*365)*(BB365*0.67*0.65*1)</f>
        <v>291580.99202155316</v>
      </c>
      <c r="BN365" s="168">
        <f t="shared" si="620"/>
        <v>448586.14157162019</v>
      </c>
      <c r="BO365" s="169">
        <f t="shared" si="621"/>
        <v>133440.18135358323</v>
      </c>
      <c r="BP365" s="168">
        <f t="shared" si="621"/>
        <v>44858.614157162025</v>
      </c>
      <c r="BQ365" s="168">
        <f>(BA365*365)*(BB365*0.67*0.01*1)</f>
        <v>4485.8614157162028</v>
      </c>
      <c r="BR365" s="168">
        <v>0</v>
      </c>
      <c r="BS365" s="168">
        <v>0</v>
      </c>
      <c r="BT365" s="167">
        <f t="shared" si="603"/>
        <v>22.493464450000001</v>
      </c>
      <c r="BU365" s="168"/>
      <c r="BV365" s="169"/>
      <c r="BW365" s="168"/>
      <c r="BX365" s="168"/>
      <c r="BY365" s="168"/>
      <c r="BZ365" s="168"/>
      <c r="CA365" s="167"/>
      <c r="CC365" s="117"/>
      <c r="CD365" s="118" t="str">
        <f t="shared" si="604"/>
        <v>Mulas y Asnos - Clima Templado</v>
      </c>
      <c r="CE365" s="99" t="s">
        <v>628</v>
      </c>
      <c r="CF365" s="172">
        <f t="shared" si="606"/>
        <v>22.493464450000001</v>
      </c>
      <c r="CG365" s="99" t="s">
        <v>577</v>
      </c>
      <c r="CH365" s="105">
        <v>0.2</v>
      </c>
      <c r="CI365" s="105">
        <v>0.5</v>
      </c>
      <c r="CJ365" s="104" t="s">
        <v>385</v>
      </c>
      <c r="CK365" s="172">
        <f t="shared" si="605"/>
        <v>0.42432814285714299</v>
      </c>
      <c r="CL365" s="99" t="s">
        <v>629</v>
      </c>
      <c r="CM365" s="105">
        <v>0.2</v>
      </c>
      <c r="CN365" s="105">
        <v>0.5</v>
      </c>
      <c r="CO365" s="104" t="s">
        <v>385</v>
      </c>
      <c r="CP365" s="173"/>
      <c r="CQ365" s="103">
        <v>22.5</v>
      </c>
      <c r="CR365" s="99" t="s">
        <v>574</v>
      </c>
      <c r="CS365" s="173"/>
      <c r="CT365" s="103">
        <v>370.88228571428601</v>
      </c>
      <c r="CU365" s="99" t="s">
        <v>574</v>
      </c>
      <c r="CV365" s="46"/>
      <c r="CW365" s="48"/>
      <c r="CX365" s="46"/>
      <c r="CY365" s="46"/>
      <c r="CZ365" s="48"/>
      <c r="DA365" s="48"/>
      <c r="DB365" s="48"/>
      <c r="DC365" s="48"/>
      <c r="DD365" s="46"/>
      <c r="DE365" s="46"/>
      <c r="DF365" s="48"/>
      <c r="DG365" s="48"/>
      <c r="DH365" s="48"/>
      <c r="DI365" s="49"/>
      <c r="DJ365" s="50">
        <v>0.2</v>
      </c>
      <c r="DK365" s="50">
        <v>0.25</v>
      </c>
      <c r="DS365" s="37" t="s">
        <v>667</v>
      </c>
      <c r="DT365" s="37">
        <v>0.9</v>
      </c>
      <c r="DU365" s="78">
        <f t="shared" si="607"/>
        <v>18.900000000000002</v>
      </c>
      <c r="DV365" s="78">
        <f t="shared" si="608"/>
        <v>22.5</v>
      </c>
      <c r="DW365" s="37">
        <v>40</v>
      </c>
      <c r="DX365" s="37">
        <v>0.99</v>
      </c>
      <c r="DY365" s="78">
        <f t="shared" si="609"/>
        <v>39.6</v>
      </c>
      <c r="DZ365" s="37">
        <v>0.02</v>
      </c>
      <c r="EA365" s="176">
        <f t="shared" si="610"/>
        <v>1.2445714285714284</v>
      </c>
      <c r="EB365" s="176">
        <f t="shared" si="611"/>
        <v>385.81714285714281</v>
      </c>
      <c r="EC365" s="176">
        <f t="shared" si="612"/>
        <v>370.88228571428567</v>
      </c>
      <c r="ED365" s="177">
        <f t="shared" si="613"/>
        <v>404.71714285714279</v>
      </c>
      <c r="EE365" s="177">
        <f t="shared" si="613"/>
        <v>393.38228571428567</v>
      </c>
      <c r="EF365" s="49" t="s">
        <v>628</v>
      </c>
      <c r="EG365" s="37" t="s">
        <v>631</v>
      </c>
    </row>
    <row r="366" spans="17:137" s="37" customFormat="1" ht="28.15" hidden="1" thickBot="1">
      <c r="Q366" s="127" t="s">
        <v>668</v>
      </c>
      <c r="S366" s="150">
        <v>1.37</v>
      </c>
      <c r="T366" s="150">
        <v>30</v>
      </c>
      <c r="U366" s="153">
        <f t="shared" si="619"/>
        <v>0</v>
      </c>
      <c r="V366" s="153">
        <f t="shared" si="619"/>
        <v>0</v>
      </c>
      <c r="W366" s="153">
        <f t="shared" si="619"/>
        <v>0.11786892857142858</v>
      </c>
      <c r="X366" s="152">
        <f t="shared" si="619"/>
        <v>0.47147571428571433</v>
      </c>
      <c r="Y366" s="153">
        <f t="shared" si="619"/>
        <v>0.11786892857142858</v>
      </c>
      <c r="Z366" s="153">
        <f t="shared" si="619"/>
        <v>0</v>
      </c>
      <c r="AA366" s="153">
        <f t="shared" si="619"/>
        <v>0.23573785714285717</v>
      </c>
      <c r="AB366" s="156">
        <f t="shared" si="619"/>
        <v>1.6501650000000003</v>
      </c>
      <c r="AC366" s="153">
        <f t="shared" si="619"/>
        <v>1.6501650000000003</v>
      </c>
      <c r="AD366" s="153">
        <f t="shared" si="619"/>
        <v>0</v>
      </c>
      <c r="AE366" s="153">
        <f t="shared" si="619"/>
        <v>0</v>
      </c>
      <c r="AF366" s="153">
        <f t="shared" si="619"/>
        <v>0.14144271428571431</v>
      </c>
      <c r="AG366" s="153">
        <f t="shared" si="619"/>
        <v>0</v>
      </c>
      <c r="AH366" s="153">
        <f t="shared" si="619"/>
        <v>2.3573785714285718</v>
      </c>
      <c r="AI366" s="153">
        <v>0</v>
      </c>
      <c r="AJ366" s="160">
        <f t="shared" si="619"/>
        <v>0.23573785714285717</v>
      </c>
      <c r="AK366" s="153">
        <f t="shared" si="619"/>
        <v>0.23573785714285717</v>
      </c>
      <c r="AL366" s="163">
        <f t="shared" si="597"/>
        <v>0.42432814285714299</v>
      </c>
      <c r="AM366" s="36">
        <v>1.2</v>
      </c>
      <c r="AN366" s="38">
        <v>0</v>
      </c>
      <c r="AP366" s="38">
        <v>0</v>
      </c>
      <c r="AQ366" s="165">
        <v>0.3</v>
      </c>
      <c r="AR366" s="164">
        <v>0.94</v>
      </c>
      <c r="AS366" s="166">
        <v>0.94</v>
      </c>
      <c r="AT366" s="166">
        <v>0.26</v>
      </c>
      <c r="AU366" s="168">
        <f>(AS366*365)*(AT366*0.67*0.02*1)</f>
        <v>1.1953604</v>
      </c>
      <c r="AV366" s="168">
        <f>(AS366*365)*(AT366*0.67*0.01*1)</f>
        <v>0.59768019999999999</v>
      </c>
      <c r="AW366" s="170"/>
      <c r="AX366" s="168">
        <f>(AS366*365)*(AT366*0.67*0.05*1)</f>
        <v>2.9884010000000001</v>
      </c>
      <c r="AY366" s="168">
        <f>(AS366*365)*(AT366*0.67*0.02*1)</f>
        <v>1.1953604</v>
      </c>
      <c r="AZ366" s="169">
        <f>(AR366*365)*(AS366*0.67*0.8*1)</f>
        <v>172.867504</v>
      </c>
      <c r="BA366" s="168">
        <f>(AS366*365)*(AT366*0.67*0.8*1)</f>
        <v>47.814416000000001</v>
      </c>
      <c r="BB366" s="168">
        <f>(AS366*365)*(AT366*0.67*0.8*1)</f>
        <v>47.814416000000001</v>
      </c>
      <c r="BC366" s="168">
        <f>(AS366*365)*(AT366*0.67*0.3*1)</f>
        <v>17.930406000000001</v>
      </c>
      <c r="BD366" s="170"/>
      <c r="BE366" s="168">
        <f>(AS366*365)*(AT366*0.67*0.8*1)</f>
        <v>47.814416000000001</v>
      </c>
      <c r="BF366" s="168">
        <f t="shared" si="598"/>
        <v>59.76802</v>
      </c>
      <c r="BG366" s="169">
        <f t="shared" si="599"/>
        <v>21.608438</v>
      </c>
      <c r="BH366" s="168">
        <f t="shared" si="599"/>
        <v>5.9768020000000002</v>
      </c>
      <c r="BI366" s="168">
        <f t="shared" si="600"/>
        <v>0.2988401</v>
      </c>
      <c r="BJ366" s="168">
        <f>(AS366*365)*(AT366*0.67*0.015*1)</f>
        <v>0.89652030000000005</v>
      </c>
      <c r="BK366" s="168">
        <v>0</v>
      </c>
      <c r="BL366" s="168">
        <v>0</v>
      </c>
      <c r="BM366" s="168">
        <f>(BA366*365)*(BB366*0.67*0.8*1)</f>
        <v>447275.76335865544</v>
      </c>
      <c r="BN366" s="168">
        <f t="shared" si="620"/>
        <v>559094.70419831923</v>
      </c>
      <c r="BO366" s="169">
        <f t="shared" si="621"/>
        <v>202134.23921016158</v>
      </c>
      <c r="BP366" s="168">
        <f t="shared" si="621"/>
        <v>55909.47041983193</v>
      </c>
      <c r="BQ366" s="168">
        <f>(BA366*365)*(BB366*0.67*0.015*1)</f>
        <v>8386.4205629747885</v>
      </c>
      <c r="BR366" s="168">
        <v>0</v>
      </c>
      <c r="BS366" s="168">
        <v>0</v>
      </c>
      <c r="BT366" s="167">
        <f t="shared" si="603"/>
        <v>26.797911275000001</v>
      </c>
      <c r="BU366" s="168"/>
      <c r="BV366" s="169"/>
      <c r="BW366" s="168"/>
      <c r="BX366" s="168"/>
      <c r="BY366" s="168"/>
      <c r="BZ366" s="168"/>
      <c r="CA366" s="167"/>
      <c r="CC366" s="117"/>
      <c r="CD366" s="118" t="str">
        <f t="shared" si="604"/>
        <v>Mulas y Asnos - Clima Cálido</v>
      </c>
      <c r="CE366" s="99" t="s">
        <v>628</v>
      </c>
      <c r="CF366" s="172">
        <f t="shared" si="606"/>
        <v>26.797911275000001</v>
      </c>
      <c r="CG366" s="99" t="s">
        <v>577</v>
      </c>
      <c r="CH366" s="105">
        <v>0.2</v>
      </c>
      <c r="CI366" s="105">
        <v>0.5</v>
      </c>
      <c r="CJ366" s="104" t="s">
        <v>385</v>
      </c>
      <c r="CK366" s="172">
        <f t="shared" si="605"/>
        <v>0.42432814285714299</v>
      </c>
      <c r="CL366" s="99" t="s">
        <v>629</v>
      </c>
      <c r="CM366" s="105">
        <v>0.2</v>
      </c>
      <c r="CN366" s="105">
        <v>0.5</v>
      </c>
      <c r="CO366" s="104" t="s">
        <v>385</v>
      </c>
      <c r="CP366" s="173"/>
      <c r="CQ366" s="103">
        <v>29.75</v>
      </c>
      <c r="CR366" s="99" t="s">
        <v>574</v>
      </c>
      <c r="CS366" s="173"/>
      <c r="CT366" s="103">
        <v>370.88228571428601</v>
      </c>
      <c r="CU366" s="99" t="s">
        <v>574</v>
      </c>
      <c r="CV366" s="46"/>
      <c r="CW366" s="48"/>
      <c r="CX366" s="46"/>
      <c r="CY366" s="46"/>
      <c r="CZ366" s="48"/>
      <c r="DA366" s="48"/>
      <c r="DB366" s="48"/>
      <c r="DC366" s="48"/>
      <c r="DD366" s="46"/>
      <c r="DE366" s="46"/>
      <c r="DF366" s="48"/>
      <c r="DG366" s="48"/>
      <c r="DH366" s="48"/>
      <c r="DI366" s="49"/>
      <c r="DJ366" s="50">
        <v>0.2</v>
      </c>
      <c r="DK366" s="50">
        <v>0.25</v>
      </c>
      <c r="DS366" s="37" t="s">
        <v>668</v>
      </c>
      <c r="DT366" s="37">
        <v>1.19</v>
      </c>
      <c r="DU366" s="78">
        <f t="shared" si="607"/>
        <v>24.99</v>
      </c>
      <c r="DV366" s="78">
        <f t="shared" si="608"/>
        <v>29.75</v>
      </c>
      <c r="DW366" s="37">
        <v>40</v>
      </c>
      <c r="DX366" s="37">
        <v>0.99</v>
      </c>
      <c r="DY366" s="78">
        <f t="shared" si="609"/>
        <v>39.6</v>
      </c>
      <c r="DZ366" s="37">
        <v>0.02</v>
      </c>
      <c r="EA366" s="176">
        <f t="shared" si="610"/>
        <v>1.2445714285714284</v>
      </c>
      <c r="EB366" s="176">
        <f t="shared" si="611"/>
        <v>385.81714285714281</v>
      </c>
      <c r="EC366" s="176">
        <f t="shared" si="612"/>
        <v>370.88228571428567</v>
      </c>
      <c r="ED366" s="177">
        <f t="shared" si="613"/>
        <v>410.80714285714282</v>
      </c>
      <c r="EE366" s="177">
        <f t="shared" si="613"/>
        <v>400.63228571428567</v>
      </c>
      <c r="EF366" s="49" t="s">
        <v>628</v>
      </c>
      <c r="EG366" s="37" t="s">
        <v>631</v>
      </c>
    </row>
    <row r="367" spans="17:137" s="37" customFormat="1" hidden="1">
      <c r="Q367" s="127" t="s">
        <v>669</v>
      </c>
      <c r="S367" s="150">
        <v>1.37</v>
      </c>
      <c r="T367" s="150">
        <v>30</v>
      </c>
      <c r="U367" s="153">
        <f t="shared" si="619"/>
        <v>0</v>
      </c>
      <c r="V367" s="153">
        <f t="shared" si="619"/>
        <v>0</v>
      </c>
      <c r="W367" s="153">
        <f t="shared" si="619"/>
        <v>0.11786892857142858</v>
      </c>
      <c r="X367" s="152">
        <f t="shared" si="619"/>
        <v>0.47147571428571433</v>
      </c>
      <c r="Y367" s="153">
        <f t="shared" si="619"/>
        <v>0.11786892857142858</v>
      </c>
      <c r="Z367" s="153">
        <f t="shared" si="619"/>
        <v>0</v>
      </c>
      <c r="AA367" s="153">
        <f t="shared" si="619"/>
        <v>0.23573785714285717</v>
      </c>
      <c r="AB367" s="156">
        <f t="shared" si="619"/>
        <v>1.6501650000000003</v>
      </c>
      <c r="AC367" s="153">
        <f t="shared" si="619"/>
        <v>1.6501650000000003</v>
      </c>
      <c r="AD367" s="153">
        <f t="shared" si="619"/>
        <v>0</v>
      </c>
      <c r="AE367" s="153">
        <f t="shared" si="619"/>
        <v>0</v>
      </c>
      <c r="AF367" s="153">
        <f t="shared" si="619"/>
        <v>0.14144271428571431</v>
      </c>
      <c r="AG367" s="153">
        <f t="shared" si="619"/>
        <v>0</v>
      </c>
      <c r="AH367" s="153">
        <f t="shared" si="619"/>
        <v>2.3573785714285718</v>
      </c>
      <c r="AI367" s="153">
        <v>0</v>
      </c>
      <c r="AJ367" s="160">
        <f t="shared" si="619"/>
        <v>0.23573785714285717</v>
      </c>
      <c r="AK367" s="153">
        <f t="shared" si="619"/>
        <v>0.23573785714285717</v>
      </c>
      <c r="AL367" s="163">
        <f t="shared" si="597"/>
        <v>0.42432814285714299</v>
      </c>
      <c r="AM367" s="36">
        <v>0.08</v>
      </c>
      <c r="AN367" s="38"/>
      <c r="AO367" s="38"/>
      <c r="AP367" s="38"/>
      <c r="AQ367" s="38"/>
      <c r="AR367" s="164">
        <v>0.1</v>
      </c>
      <c r="AS367" s="166">
        <v>0.1</v>
      </c>
      <c r="AT367" s="166">
        <v>0.32</v>
      </c>
      <c r="AU367" s="168">
        <f>(AS367*365)*(AT367*0.67*0.01*1)</f>
        <v>7.8256000000000006E-2</v>
      </c>
      <c r="AV367" s="168">
        <f>(AS367*365)*(AT367*0.67*0.001*1)</f>
        <v>7.8256000000000003E-3</v>
      </c>
      <c r="AW367" s="170"/>
      <c r="AX367" s="168">
        <f>(AS367*365)*(AT367*0.67*0.02*1)</f>
        <v>0.15651200000000001</v>
      </c>
      <c r="AY367" s="168">
        <f>(AS367*365)*(AT367*0.67*0.01*1)</f>
        <v>7.8256000000000006E-2</v>
      </c>
      <c r="AZ367" s="169">
        <f>(AR367*365)*(AS367*0.67*0.25*1)</f>
        <v>0.611375</v>
      </c>
      <c r="BA367" s="168">
        <f>(AS367*365)*(AT367*0.67*0.25*1)</f>
        <v>1.9564000000000001</v>
      </c>
      <c r="BB367" s="168">
        <f>(AS367*365)*(AT367*0.67*0.73*1)</f>
        <v>5.7126880000000009</v>
      </c>
      <c r="BC367" s="168">
        <f>(AS367*365)*(AT367*0.67*0.03*1)</f>
        <v>0.234768</v>
      </c>
      <c r="BD367" s="170"/>
      <c r="BE367" s="168">
        <f>(AS367*365)*(AT367*0.67*0.25*1)</f>
        <v>1.9564000000000001</v>
      </c>
      <c r="BF367" s="168">
        <f t="shared" si="598"/>
        <v>7.8256000000000006</v>
      </c>
      <c r="BG367" s="169">
        <f t="shared" si="599"/>
        <v>0.24455000000000005</v>
      </c>
      <c r="BH367" s="168">
        <f t="shared" si="599"/>
        <v>0.78256000000000003</v>
      </c>
      <c r="BI367" s="168">
        <f t="shared" si="600"/>
        <v>3.9128000000000003E-2</v>
      </c>
      <c r="BJ367" s="168">
        <f>(AS367*365)*(AT367*0.67*0.005*1)</f>
        <v>3.9128000000000003E-2</v>
      </c>
      <c r="BK367" s="168">
        <v>0</v>
      </c>
      <c r="BL367" s="168">
        <v>0</v>
      </c>
      <c r="BM367" s="168">
        <f>(BA367*365)*(BB367*0.67*0.25*1)</f>
        <v>683.29121263064019</v>
      </c>
      <c r="BN367" s="168">
        <f t="shared" si="620"/>
        <v>2733.1648505225608</v>
      </c>
      <c r="BO367" s="169">
        <f t="shared" si="621"/>
        <v>29.250479992750005</v>
      </c>
      <c r="BP367" s="168">
        <f t="shared" si="621"/>
        <v>273.3164850522561</v>
      </c>
      <c r="BQ367" s="168">
        <f>(BA367*365)*(BB367*0.67*0.005*1)</f>
        <v>13.665824252612806</v>
      </c>
      <c r="BR367" s="168">
        <v>0</v>
      </c>
      <c r="BS367" s="168">
        <v>0</v>
      </c>
      <c r="BT367" s="167">
        <f t="shared" si="603"/>
        <v>1.2327154125000004</v>
      </c>
      <c r="BU367" s="168"/>
      <c r="BV367" s="169"/>
      <c r="BW367" s="168"/>
      <c r="BX367" s="168"/>
      <c r="BY367" s="168"/>
      <c r="BZ367" s="168"/>
      <c r="CA367" s="167"/>
      <c r="CC367" s="45"/>
      <c r="CD367" s="36"/>
      <c r="CE367" s="46"/>
      <c r="CF367" s="46"/>
      <c r="CG367" s="46"/>
      <c r="CH367" s="47"/>
      <c r="CI367" s="47"/>
      <c r="CJ367" s="47"/>
      <c r="CK367" s="173"/>
      <c r="CL367" s="173"/>
      <c r="CM367" s="173"/>
      <c r="CN367" s="173"/>
      <c r="CO367" s="173"/>
      <c r="CP367" s="173"/>
      <c r="CQ367" s="46"/>
      <c r="CR367" s="173"/>
      <c r="CS367" s="173"/>
      <c r="CT367" s="46"/>
      <c r="CU367" s="46"/>
      <c r="CV367" s="46"/>
      <c r="CW367" s="48"/>
      <c r="CX367" s="46"/>
      <c r="CY367" s="46"/>
      <c r="CZ367" s="48"/>
      <c r="DA367" s="48"/>
      <c r="DB367" s="48"/>
      <c r="DC367" s="48"/>
      <c r="DD367" s="46"/>
      <c r="DE367" s="46"/>
      <c r="DF367" s="48"/>
      <c r="DG367" s="48"/>
      <c r="DH367" s="48"/>
      <c r="DI367" s="49"/>
      <c r="DJ367" s="50"/>
      <c r="DK367" s="50">
        <f t="shared" si="594"/>
        <v>0</v>
      </c>
      <c r="DU367" s="49"/>
      <c r="DV367" s="148"/>
      <c r="DW367" s="49"/>
      <c r="DX367" s="49"/>
      <c r="DY367" s="49"/>
      <c r="DZ367" s="49"/>
      <c r="EA367" s="49"/>
    </row>
    <row r="368" spans="17:137" s="37" customFormat="1" hidden="1">
      <c r="Q368" s="127" t="s">
        <v>670</v>
      </c>
      <c r="S368" s="150">
        <v>1.37</v>
      </c>
      <c r="T368" s="150">
        <v>30</v>
      </c>
      <c r="U368" s="153">
        <f t="shared" si="619"/>
        <v>0</v>
      </c>
      <c r="V368" s="153">
        <f t="shared" si="619"/>
        <v>0</v>
      </c>
      <c r="W368" s="153">
        <f t="shared" si="619"/>
        <v>0.11786892857142858</v>
      </c>
      <c r="X368" s="152">
        <f t="shared" si="619"/>
        <v>0.47147571428571433</v>
      </c>
      <c r="Y368" s="153">
        <f t="shared" si="619"/>
        <v>0.11786892857142858</v>
      </c>
      <c r="Z368" s="153">
        <f t="shared" si="619"/>
        <v>0</v>
      </c>
      <c r="AA368" s="153">
        <f t="shared" si="619"/>
        <v>0.23573785714285717</v>
      </c>
      <c r="AB368" s="156">
        <f t="shared" si="619"/>
        <v>1.6501650000000003</v>
      </c>
      <c r="AC368" s="153">
        <f t="shared" si="619"/>
        <v>1.6501650000000003</v>
      </c>
      <c r="AD368" s="153">
        <f t="shared" si="619"/>
        <v>0</v>
      </c>
      <c r="AE368" s="153">
        <f t="shared" si="619"/>
        <v>0</v>
      </c>
      <c r="AF368" s="153">
        <f t="shared" si="619"/>
        <v>0.14144271428571431</v>
      </c>
      <c r="AG368" s="153">
        <f t="shared" si="619"/>
        <v>0</v>
      </c>
      <c r="AH368" s="153">
        <f t="shared" si="619"/>
        <v>2.3573785714285718</v>
      </c>
      <c r="AI368" s="153">
        <v>0</v>
      </c>
      <c r="AJ368" s="160">
        <f t="shared" si="619"/>
        <v>0.23573785714285717</v>
      </c>
      <c r="AK368" s="153">
        <f t="shared" si="619"/>
        <v>0.23573785714285717</v>
      </c>
      <c r="AL368" s="163">
        <f t="shared" si="597"/>
        <v>0.42432814285714299</v>
      </c>
      <c r="AR368" s="164">
        <v>0.1</v>
      </c>
      <c r="AS368" s="166">
        <v>0.1</v>
      </c>
      <c r="AT368" s="166">
        <v>0.32</v>
      </c>
      <c r="AU368" s="168">
        <f>(AS368*365)*(AT368*0.67*0.015*1)</f>
        <v>0.117384</v>
      </c>
      <c r="AV368" s="168">
        <f>(AS368*365)*(AT368*0.67*0.005*1)</f>
        <v>3.9128000000000003E-2</v>
      </c>
      <c r="AW368" s="170"/>
      <c r="AX368" s="168">
        <f>(AS368*365)*(AT368*0.67*0.04*1)</f>
        <v>0.31302400000000002</v>
      </c>
      <c r="AY368" s="168">
        <f>(AS368*365)*(AT368*0.67*0.015*1)</f>
        <v>0.117384</v>
      </c>
      <c r="AZ368" s="169">
        <f>(AR368*365)*(AS368*0.67*0.65*1)</f>
        <v>1.5895750000000002</v>
      </c>
      <c r="BA368" s="168">
        <f>(AS368*365)*(AT368*0.67*0.65*1)</f>
        <v>5.0866400000000001</v>
      </c>
      <c r="BB368" s="168">
        <f>(AS368*365)*(AT368*0.67*0.79*1)</f>
        <v>6.1822240000000006</v>
      </c>
      <c r="BC368" s="168">
        <f>(AS368*365)*(AT368*0.67*0.03*1)</f>
        <v>0.234768</v>
      </c>
      <c r="BD368" s="170"/>
      <c r="BE368" s="168">
        <f>(AS368*365)*(AT368*0.67*0.65*1)</f>
        <v>5.0866400000000001</v>
      </c>
      <c r="BF368" s="168">
        <f t="shared" si="598"/>
        <v>7.8256000000000006</v>
      </c>
      <c r="BG368" s="169">
        <f t="shared" si="599"/>
        <v>0.24455000000000005</v>
      </c>
      <c r="BH368" s="168">
        <f t="shared" si="599"/>
        <v>0.78256000000000003</v>
      </c>
      <c r="BI368" s="168">
        <f t="shared" si="600"/>
        <v>3.9128000000000003E-2</v>
      </c>
      <c r="BJ368" s="168">
        <f>(AS368*365)*(AT368*0.67*0.01*1)</f>
        <v>7.8256000000000006E-2</v>
      </c>
      <c r="BK368" s="168">
        <v>0</v>
      </c>
      <c r="BL368" s="168">
        <v>0</v>
      </c>
      <c r="BM368" s="168">
        <f>(BA368*365)*(BB368*0.67*0.65*1)</f>
        <v>4998.6964273050289</v>
      </c>
      <c r="BN368" s="168">
        <f t="shared" si="620"/>
        <v>7690.3021958538902</v>
      </c>
      <c r="BO368" s="169">
        <f t="shared" si="621"/>
        <v>197.73324475099005</v>
      </c>
      <c r="BP368" s="168">
        <f t="shared" si="621"/>
        <v>769.03021958538909</v>
      </c>
      <c r="BQ368" s="168">
        <f>(BA368*365)*(BB368*0.67*0.01*1)</f>
        <v>76.903021958538901</v>
      </c>
      <c r="BR368" s="168">
        <v>0</v>
      </c>
      <c r="BS368" s="168">
        <v>0</v>
      </c>
      <c r="BT368" s="167">
        <f t="shared" si="603"/>
        <v>1.7335538125000003</v>
      </c>
      <c r="BU368" s="168"/>
      <c r="BV368" s="169"/>
      <c r="BW368" s="168"/>
      <c r="BX368" s="168"/>
      <c r="BY368" s="168"/>
      <c r="BZ368" s="168"/>
      <c r="CA368" s="167"/>
      <c r="CC368" s="98"/>
      <c r="CD368" s="36"/>
      <c r="CE368" s="46"/>
      <c r="CF368" s="46"/>
      <c r="CG368" s="46"/>
      <c r="CH368" s="47"/>
      <c r="CI368" s="47"/>
      <c r="CJ368" s="47"/>
      <c r="CK368" s="173"/>
      <c r="CL368" s="173"/>
      <c r="CM368" s="173"/>
      <c r="CN368" s="173"/>
      <c r="CO368" s="173"/>
      <c r="CP368" s="173"/>
      <c r="CQ368" s="46"/>
      <c r="CR368" s="173"/>
      <c r="CS368" s="173"/>
      <c r="CT368" s="46"/>
      <c r="CU368" s="46"/>
      <c r="CV368" s="46"/>
      <c r="CW368" s="48"/>
      <c r="CX368" s="46"/>
      <c r="CY368" s="46"/>
      <c r="CZ368" s="48"/>
      <c r="DA368" s="48"/>
      <c r="DB368" s="48"/>
      <c r="DC368" s="48"/>
      <c r="DD368" s="46"/>
      <c r="DE368" s="46"/>
      <c r="DF368" s="48"/>
      <c r="DG368" s="48"/>
      <c r="DH368" s="48"/>
      <c r="DI368" s="49"/>
      <c r="DJ368" s="50"/>
      <c r="DK368" s="50">
        <f t="shared" si="594"/>
        <v>0</v>
      </c>
      <c r="DU368" s="49" t="s">
        <v>671</v>
      </c>
      <c r="DW368" s="49" t="s">
        <v>672</v>
      </c>
      <c r="DX368" s="49" t="s">
        <v>673</v>
      </c>
      <c r="DY368" s="49"/>
      <c r="DZ368" s="49"/>
      <c r="EA368" s="49"/>
      <c r="EB368" s="49" t="s">
        <v>674</v>
      </c>
      <c r="EC368" s="49" t="s">
        <v>590</v>
      </c>
      <c r="ED368" s="49" t="s">
        <v>675</v>
      </c>
      <c r="EE368" s="49"/>
      <c r="EF368" s="49" t="s">
        <v>676</v>
      </c>
    </row>
    <row r="369" spans="17:137" s="37" customFormat="1" ht="14.65" hidden="1" thickBot="1">
      <c r="Q369" s="127" t="s">
        <v>677</v>
      </c>
      <c r="S369" s="150">
        <v>1.37</v>
      </c>
      <c r="T369" s="150">
        <v>30</v>
      </c>
      <c r="U369" s="153">
        <f t="shared" si="619"/>
        <v>0</v>
      </c>
      <c r="V369" s="153">
        <f t="shared" si="619"/>
        <v>0</v>
      </c>
      <c r="W369" s="153">
        <f t="shared" si="619"/>
        <v>0.11786892857142858</v>
      </c>
      <c r="X369" s="152">
        <f t="shared" si="619"/>
        <v>0.47147571428571433</v>
      </c>
      <c r="Y369" s="153">
        <f t="shared" si="619"/>
        <v>0.11786892857142858</v>
      </c>
      <c r="Z369" s="153">
        <f t="shared" si="619"/>
        <v>0</v>
      </c>
      <c r="AA369" s="153">
        <f t="shared" si="619"/>
        <v>0.23573785714285717</v>
      </c>
      <c r="AB369" s="156">
        <f t="shared" si="619"/>
        <v>1.6501650000000003</v>
      </c>
      <c r="AC369" s="153">
        <f t="shared" si="619"/>
        <v>1.6501650000000003</v>
      </c>
      <c r="AD369" s="153">
        <f t="shared" si="619"/>
        <v>0</v>
      </c>
      <c r="AE369" s="153">
        <f t="shared" si="619"/>
        <v>0</v>
      </c>
      <c r="AF369" s="153">
        <f t="shared" si="619"/>
        <v>0.14144271428571431</v>
      </c>
      <c r="AG369" s="153">
        <f t="shared" si="619"/>
        <v>0</v>
      </c>
      <c r="AH369" s="153">
        <f t="shared" si="619"/>
        <v>2.3573785714285718</v>
      </c>
      <c r="AI369" s="153">
        <v>0</v>
      </c>
      <c r="AJ369" s="160">
        <f t="shared" si="619"/>
        <v>0.23573785714285717</v>
      </c>
      <c r="AK369" s="153">
        <f t="shared" si="619"/>
        <v>0.23573785714285717</v>
      </c>
      <c r="AL369" s="163">
        <f t="shared" si="597"/>
        <v>0.42432814285714299</v>
      </c>
      <c r="AR369" s="164">
        <v>0.1</v>
      </c>
      <c r="AS369" s="166">
        <v>0.1</v>
      </c>
      <c r="AT369" s="166">
        <v>0.32</v>
      </c>
      <c r="AU369" s="168">
        <f>(AS369*365)*(AT369*0.67*0.02*1)</f>
        <v>0.15651200000000001</v>
      </c>
      <c r="AV369" s="168">
        <f>(AS369*365)*(AT369*0.67*0.01*1)</f>
        <v>7.8256000000000006E-2</v>
      </c>
      <c r="AW369" s="170"/>
      <c r="AX369" s="168">
        <f>(AS369*365)*(AT369*0.67*0.05*1)</f>
        <v>0.39128000000000002</v>
      </c>
      <c r="AY369" s="168">
        <f>(AS369*365)*(AT369*0.67*0.02*1)</f>
        <v>0.15651200000000001</v>
      </c>
      <c r="AZ369" s="169">
        <f>(AR369*365)*(AS369*0.67*0.8*1)</f>
        <v>1.9564000000000004</v>
      </c>
      <c r="BA369" s="168">
        <f>(AS369*365)*(AT369*0.67*0.8*1)</f>
        <v>6.2604800000000003</v>
      </c>
      <c r="BB369" s="168">
        <f>(AS369*365)*(AT369*0.67*0.8*1)</f>
        <v>6.2604800000000003</v>
      </c>
      <c r="BC369" s="168">
        <f>(AS369*365)*(AT369*0.67*0.3*1)</f>
        <v>2.34768</v>
      </c>
      <c r="BD369" s="170"/>
      <c r="BE369" s="168">
        <f>(AS369*365)*(AT369*0.67*0.8*1)</f>
        <v>6.2604800000000003</v>
      </c>
      <c r="BF369" s="168">
        <f t="shared" si="598"/>
        <v>7.8256000000000006</v>
      </c>
      <c r="BG369" s="169">
        <f t="shared" si="599"/>
        <v>0.24455000000000005</v>
      </c>
      <c r="BH369" s="168">
        <f t="shared" si="599"/>
        <v>0.78256000000000003</v>
      </c>
      <c r="BI369" s="168">
        <f t="shared" si="600"/>
        <v>3.9128000000000003E-2</v>
      </c>
      <c r="BJ369" s="168">
        <f>(AS369*365)*(AT369*0.67*0.015*1)</f>
        <v>0.117384</v>
      </c>
      <c r="BK369" s="168">
        <v>0</v>
      </c>
      <c r="BL369" s="168">
        <v>0</v>
      </c>
      <c r="BM369" s="168">
        <f>(BA369*365)*(BB369*0.67*0.8*1)</f>
        <v>7667.8378272194577</v>
      </c>
      <c r="BN369" s="168">
        <f t="shared" si="620"/>
        <v>9584.7972840243219</v>
      </c>
      <c r="BO369" s="169">
        <f t="shared" si="621"/>
        <v>299.52491512576012</v>
      </c>
      <c r="BP369" s="168">
        <f t="shared" si="621"/>
        <v>958.47972840243222</v>
      </c>
      <c r="BQ369" s="168">
        <f>(BA369*365)*(BB369*0.67*0.015*1)</f>
        <v>143.77195926036484</v>
      </c>
      <c r="BR369" s="168">
        <v>0</v>
      </c>
      <c r="BS369" s="168">
        <v>0</v>
      </c>
      <c r="BT369" s="167">
        <f t="shared" si="603"/>
        <v>2.054831375</v>
      </c>
      <c r="BU369" s="168"/>
      <c r="BV369" s="169"/>
      <c r="BW369" s="168"/>
      <c r="BX369" s="168"/>
      <c r="BY369" s="168"/>
      <c r="BZ369" s="168"/>
      <c r="CA369" s="167"/>
      <c r="CC369" s="98"/>
      <c r="CD369" s="36"/>
      <c r="CE369" s="46"/>
      <c r="CF369" s="46"/>
      <c r="CG369" s="46"/>
      <c r="CH369" s="47"/>
      <c r="CI369" s="47"/>
      <c r="CJ369" s="47"/>
      <c r="CK369" s="173"/>
      <c r="CL369" s="173"/>
      <c r="CM369" s="173"/>
      <c r="CN369" s="173"/>
      <c r="CO369" s="173"/>
      <c r="CP369" s="173"/>
      <c r="CQ369" s="46"/>
      <c r="CR369" s="173"/>
      <c r="CS369" s="173"/>
      <c r="CT369" s="46"/>
      <c r="CU369" s="46"/>
      <c r="CV369" s="46"/>
      <c r="CW369" s="48"/>
      <c r="CX369" s="46"/>
      <c r="CY369" s="46"/>
      <c r="CZ369" s="48"/>
      <c r="DA369" s="48"/>
      <c r="DB369" s="48"/>
      <c r="DC369" s="48"/>
      <c r="DD369" s="46"/>
      <c r="DE369" s="46"/>
      <c r="DF369" s="48"/>
      <c r="DG369" s="48"/>
      <c r="DH369" s="48"/>
      <c r="DI369" s="49"/>
      <c r="DJ369" s="50"/>
      <c r="DK369" s="50">
        <f t="shared" si="594"/>
        <v>0</v>
      </c>
      <c r="DS369" s="37" t="s">
        <v>678</v>
      </c>
      <c r="DT369" s="37" t="s">
        <v>340</v>
      </c>
      <c r="DU369" s="37">
        <f>+EF369</f>
        <v>6.1897500000000008E-2</v>
      </c>
      <c r="DW369" s="49">
        <v>1</v>
      </c>
      <c r="DX369" s="49">
        <v>0.9</v>
      </c>
      <c r="DY369" s="49"/>
      <c r="DZ369" s="49"/>
      <c r="EA369" s="49"/>
      <c r="EB369" s="49">
        <v>0.5</v>
      </c>
      <c r="EC369" s="49">
        <v>5.0000000000000001E-3</v>
      </c>
      <c r="ED369" s="49">
        <f>+DW369*DX369*EB369*EC369*21</f>
        <v>4.7250000000000007E-2</v>
      </c>
      <c r="EE369" s="49"/>
      <c r="EF369" s="37">
        <f>+ED369+EE380</f>
        <v>6.1897500000000008E-2</v>
      </c>
      <c r="EG369" s="49" t="s">
        <v>671</v>
      </c>
    </row>
    <row r="370" spans="17:137" s="37" customFormat="1" ht="15" hidden="1" customHeight="1">
      <c r="Q370" s="127" t="s">
        <v>679</v>
      </c>
      <c r="S370" s="150"/>
      <c r="T370" s="150"/>
      <c r="U370" s="149"/>
      <c r="V370" s="149"/>
      <c r="W370" s="149"/>
      <c r="X370" s="152"/>
      <c r="Y370" s="149"/>
      <c r="Z370" s="149"/>
      <c r="AA370" s="149"/>
      <c r="AB370" s="156"/>
      <c r="AC370" s="149"/>
      <c r="AD370" s="149"/>
      <c r="AE370" s="149"/>
      <c r="AF370" s="149"/>
      <c r="AG370" s="149"/>
      <c r="AH370" s="149"/>
      <c r="AI370" s="149"/>
      <c r="AJ370" s="160"/>
      <c r="AK370" s="149"/>
      <c r="AL370" s="150"/>
      <c r="AM370" s="36">
        <v>5.67</v>
      </c>
      <c r="AR370" s="164">
        <v>1.1599999999999999</v>
      </c>
      <c r="AS370" s="166">
        <v>1.1599999999999999</v>
      </c>
      <c r="AT370" s="166">
        <v>0.25</v>
      </c>
      <c r="AU370" s="168">
        <f>(AS370*365)*(AT370*0.67*0.01*1)</f>
        <v>0.70919500000000002</v>
      </c>
      <c r="AV370" s="168">
        <f>(AS370*365)*(AT370*0.67*0.001*1)</f>
        <v>7.0919499999999996E-2</v>
      </c>
      <c r="AW370" s="170"/>
      <c r="AX370" s="168">
        <f>(AS370*365)*(AT370*0.67*0.02*1)</f>
        <v>1.41839</v>
      </c>
      <c r="AY370" s="168">
        <f>(AS370*365)*(AT370*0.67*0.01*1)</f>
        <v>0.70919500000000002</v>
      </c>
      <c r="AZ370" s="169">
        <f>(AR370*365)*(AS370*0.67*0.25*1)</f>
        <v>82.266619999999989</v>
      </c>
      <c r="BA370" s="168">
        <f>(AS370*365)*(AT370*0.67*0.25*1)</f>
        <v>17.729875</v>
      </c>
      <c r="BB370" s="168">
        <f>(AS370*365)*(AT370*0.67*0.73*1)</f>
        <v>51.771235000000004</v>
      </c>
      <c r="BC370" s="168">
        <f>(AS370*365)*(AT370*0.67*0.03*1)</f>
        <v>2.1275849999999998</v>
      </c>
      <c r="BD370" s="170"/>
      <c r="BE370" s="168">
        <f>(AS370*365)*(AT370*0.67*0.25*1)</f>
        <v>17.729875</v>
      </c>
      <c r="BF370" s="168">
        <f t="shared" si="598"/>
        <v>70.919499999999999</v>
      </c>
      <c r="BG370" s="169">
        <f t="shared" si="599"/>
        <v>32.906648000000004</v>
      </c>
      <c r="BH370" s="168">
        <f t="shared" si="599"/>
        <v>7.0919499999999998</v>
      </c>
      <c r="BI370" s="168">
        <f t="shared" si="600"/>
        <v>0.35459750000000001</v>
      </c>
      <c r="BJ370" s="168">
        <f>(AS370*365)*(AT370*0.67*0.005*1)</f>
        <v>0.35459750000000001</v>
      </c>
      <c r="BK370" s="168">
        <v>0</v>
      </c>
      <c r="BL370" s="168">
        <v>0</v>
      </c>
      <c r="BM370" s="168">
        <f>(BA370*365)*(BB370*0.67*0.25*1)</f>
        <v>56117.959943590657</v>
      </c>
      <c r="BN370" s="168">
        <f t="shared" si="620"/>
        <v>224471.83977436263</v>
      </c>
      <c r="BO370" s="169">
        <f t="shared" si="621"/>
        <v>35669.497827158986</v>
      </c>
      <c r="BP370" s="168">
        <f t="shared" si="621"/>
        <v>22447.183977436267</v>
      </c>
      <c r="BQ370" s="168">
        <f>(BA370*365)*(BB370*0.67*0.005*1)</f>
        <v>1122.3591988718131</v>
      </c>
      <c r="BR370" s="168">
        <v>0</v>
      </c>
      <c r="BS370" s="168">
        <v>0</v>
      </c>
      <c r="BT370" s="167">
        <f t="shared" si="603"/>
        <v>17.885011406250001</v>
      </c>
      <c r="BU370" s="168"/>
      <c r="BV370" s="169"/>
      <c r="BW370" s="168"/>
      <c r="BX370" s="168"/>
      <c r="BY370" s="168"/>
      <c r="BZ370" s="168"/>
      <c r="CA370" s="167"/>
      <c r="CC370" s="98"/>
      <c r="CD370" s="549" t="s">
        <v>267</v>
      </c>
      <c r="CE370" s="92"/>
      <c r="CF370" s="549" t="s">
        <v>572</v>
      </c>
      <c r="CG370" s="92"/>
      <c r="CH370" s="549" t="s">
        <v>283</v>
      </c>
      <c r="CI370" s="549" t="s">
        <v>283</v>
      </c>
      <c r="CJ370" s="549" t="s">
        <v>284</v>
      </c>
      <c r="CK370" s="549" t="s">
        <v>680</v>
      </c>
      <c r="CL370" s="92"/>
      <c r="CM370" s="549" t="s">
        <v>283</v>
      </c>
      <c r="CN370" s="549" t="s">
        <v>283</v>
      </c>
      <c r="CO370" s="549" t="s">
        <v>284</v>
      </c>
      <c r="CP370" s="36"/>
      <c r="CQ370" s="46"/>
      <c r="CR370" s="173"/>
      <c r="CS370" s="173"/>
      <c r="CT370" s="46"/>
      <c r="CU370" s="46"/>
      <c r="CV370" s="46"/>
      <c r="CW370" s="48"/>
      <c r="CX370" s="46"/>
      <c r="CY370" s="46"/>
      <c r="CZ370" s="48"/>
      <c r="DA370" s="48"/>
      <c r="DB370" s="48"/>
      <c r="DC370" s="48"/>
      <c r="DD370" s="46"/>
      <c r="DE370" s="46"/>
      <c r="DF370" s="48"/>
      <c r="DG370" s="48"/>
      <c r="DH370" s="48"/>
      <c r="DI370" s="49"/>
      <c r="DJ370" s="50"/>
      <c r="DK370" s="50" t="str">
        <f t="shared" si="594"/>
        <v>Incertidumbre (+/- %)</v>
      </c>
      <c r="DX370" s="49"/>
      <c r="DY370" s="49"/>
      <c r="DZ370" s="49"/>
      <c r="EA370" s="49"/>
    </row>
    <row r="371" spans="17:137" s="37" customFormat="1" ht="14.65" hidden="1" thickBot="1">
      <c r="Q371" s="127" t="s">
        <v>681</v>
      </c>
      <c r="S371" s="150"/>
      <c r="T371" s="150"/>
      <c r="U371" s="149"/>
      <c r="V371" s="149"/>
      <c r="W371" s="149"/>
      <c r="X371" s="152"/>
      <c r="Y371" s="149"/>
      <c r="Z371" s="149"/>
      <c r="AA371" s="149"/>
      <c r="AB371" s="156"/>
      <c r="AC371" s="149"/>
      <c r="AD371" s="149"/>
      <c r="AE371" s="149"/>
      <c r="AF371" s="149"/>
      <c r="AG371" s="149"/>
      <c r="AH371" s="149"/>
      <c r="AI371" s="149"/>
      <c r="AJ371" s="160"/>
      <c r="AK371" s="149"/>
      <c r="AL371" s="150"/>
      <c r="AR371" s="164">
        <v>1.1599999999999999</v>
      </c>
      <c r="AS371" s="166">
        <v>1.1599999999999999</v>
      </c>
      <c r="AT371" s="166">
        <v>0.25</v>
      </c>
      <c r="AU371" s="168">
        <f>(AS371*365)*(AT371*0.67*0.015*1)</f>
        <v>1.0637924999999999</v>
      </c>
      <c r="AV371" s="168">
        <f>(AS371*365)*(AT371*0.67*0.005*1)</f>
        <v>0.35459750000000001</v>
      </c>
      <c r="AW371" s="170"/>
      <c r="AX371" s="168">
        <f>(AS371*365)*(AT371*0.67*0.04*1)</f>
        <v>2.8367800000000001</v>
      </c>
      <c r="AY371" s="168">
        <f>(AS371*365)*(AT371*0.67*0.015*1)</f>
        <v>1.0637924999999999</v>
      </c>
      <c r="AZ371" s="169">
        <f>(AR371*365)*(AS371*0.67*0.65*1)</f>
        <v>213.89321200000001</v>
      </c>
      <c r="BA371" s="168">
        <f>(AS371*365)*(AT371*0.67*0.65*1)</f>
        <v>46.097675000000002</v>
      </c>
      <c r="BB371" s="168">
        <f>(AS371*365)*(AT371*0.67*0.79*1)</f>
        <v>56.026405000000011</v>
      </c>
      <c r="BC371" s="168">
        <f>(AS371*365)*(AT371*0.67*0.03*1)</f>
        <v>2.1275849999999998</v>
      </c>
      <c r="BD371" s="170"/>
      <c r="BE371" s="168">
        <f>(AS371*365)*(AT371*0.67*0.65*1)</f>
        <v>46.097675000000002</v>
      </c>
      <c r="BF371" s="168">
        <f t="shared" si="598"/>
        <v>70.919499999999999</v>
      </c>
      <c r="BG371" s="169">
        <f t="shared" si="599"/>
        <v>32.906648000000004</v>
      </c>
      <c r="BH371" s="168">
        <f t="shared" si="599"/>
        <v>7.0919499999999998</v>
      </c>
      <c r="BI371" s="168">
        <f t="shared" si="600"/>
        <v>0.35459750000000001</v>
      </c>
      <c r="BJ371" s="168">
        <f>(AS371*365)*(AT371*0.67*0.01*1)</f>
        <v>0.70919500000000002</v>
      </c>
      <c r="BK371" s="168">
        <v>0</v>
      </c>
      <c r="BL371" s="168">
        <v>0</v>
      </c>
      <c r="BM371" s="168">
        <f>(BA371*365)*(BB371*0.67*0.65*1)</f>
        <v>410537.47025034466</v>
      </c>
      <c r="BN371" s="168">
        <f t="shared" si="620"/>
        <v>631596.10807745333</v>
      </c>
      <c r="BO371" s="169">
        <f t="shared" si="621"/>
        <v>241125.8053115948</v>
      </c>
      <c r="BP371" s="168">
        <f t="shared" si="621"/>
        <v>63159.610807745332</v>
      </c>
      <c r="BQ371" s="168">
        <f>(BA371*365)*(BB371*0.67*0.01*1)</f>
        <v>6315.9610807745339</v>
      </c>
      <c r="BR371" s="168">
        <v>0</v>
      </c>
      <c r="BS371" s="168">
        <v>0</v>
      </c>
      <c r="BT371" s="167">
        <f t="shared" si="603"/>
        <v>30.096462812500004</v>
      </c>
      <c r="BU371" s="168"/>
      <c r="BV371" s="169"/>
      <c r="BW371" s="168"/>
      <c r="BX371" s="168"/>
      <c r="BY371" s="168"/>
      <c r="BZ371" s="168"/>
      <c r="CA371" s="167"/>
      <c r="CC371" s="98"/>
      <c r="CD371" s="550"/>
      <c r="CE371" s="94" t="s">
        <v>290</v>
      </c>
      <c r="CF371" s="550"/>
      <c r="CG371" s="94" t="s">
        <v>291</v>
      </c>
      <c r="CH371" s="550"/>
      <c r="CI371" s="550"/>
      <c r="CJ371" s="550"/>
      <c r="CK371" s="550"/>
      <c r="CL371" s="94" t="s">
        <v>291</v>
      </c>
      <c r="CM371" s="550"/>
      <c r="CN371" s="550"/>
      <c r="CO371" s="550"/>
      <c r="CP371" s="36"/>
      <c r="CQ371" s="46"/>
      <c r="CR371" s="173"/>
      <c r="CS371" s="173"/>
      <c r="CT371" s="46"/>
      <c r="CU371" s="46"/>
      <c r="CV371" s="46"/>
      <c r="CW371" s="48"/>
      <c r="CX371" s="46"/>
      <c r="CY371" s="46"/>
      <c r="CZ371" s="48"/>
      <c r="DA371" s="48"/>
      <c r="DB371" s="48"/>
      <c r="DC371" s="48"/>
      <c r="DD371" s="46"/>
      <c r="DE371" s="46"/>
      <c r="DF371" s="48"/>
      <c r="DG371" s="48"/>
      <c r="DH371" s="48"/>
      <c r="DI371" s="49"/>
      <c r="DJ371" s="50"/>
      <c r="DK371" s="50">
        <f t="shared" si="594"/>
        <v>0</v>
      </c>
      <c r="DX371" s="49"/>
      <c r="DY371" s="49"/>
      <c r="DZ371" s="49"/>
      <c r="EA371" s="49"/>
      <c r="ED371" s="49">
        <f>+DW369*DX369*EB369*EC369*25</f>
        <v>5.6250000000000008E-2</v>
      </c>
      <c r="EF371" s="37">
        <f>+ED371+EE382</f>
        <v>7.0330500000000004E-2</v>
      </c>
    </row>
    <row r="372" spans="17:137" s="37" customFormat="1" ht="16.149999999999999" hidden="1" thickBot="1">
      <c r="Q372" s="127" t="s">
        <v>682</v>
      </c>
      <c r="S372" s="150"/>
      <c r="T372" s="150"/>
      <c r="U372" s="149"/>
      <c r="V372" s="149"/>
      <c r="W372" s="149"/>
      <c r="X372" s="152"/>
      <c r="Y372" s="149"/>
      <c r="Z372" s="149"/>
      <c r="AA372" s="149"/>
      <c r="AB372" s="156"/>
      <c r="AC372" s="149"/>
      <c r="AD372" s="149"/>
      <c r="AE372" s="149"/>
      <c r="AF372" s="149"/>
      <c r="AG372" s="149"/>
      <c r="AH372" s="149"/>
      <c r="AI372" s="149"/>
      <c r="AJ372" s="160"/>
      <c r="AK372" s="149"/>
      <c r="AL372" s="150"/>
      <c r="AR372" s="164">
        <v>1.1599999999999999</v>
      </c>
      <c r="AS372" s="166">
        <v>1.1599999999999999</v>
      </c>
      <c r="AT372" s="166">
        <v>0.25</v>
      </c>
      <c r="AU372" s="168">
        <f>(AS372*365)*(AT372*0.67*0.02*1)</f>
        <v>1.41839</v>
      </c>
      <c r="AV372" s="168">
        <f>(AS372*365)*(AT372*0.67*0.01*1)</f>
        <v>0.70919500000000002</v>
      </c>
      <c r="AW372" s="170"/>
      <c r="AX372" s="168">
        <f>(AS372*365)*(AT372*0.67*0.05*1)</f>
        <v>3.5459749999999999</v>
      </c>
      <c r="AY372" s="168">
        <f>(AS372*365)*(AT372*0.67*0.02*1)</f>
        <v>1.41839</v>
      </c>
      <c r="AZ372" s="169">
        <f>(AR372*365)*(AS372*0.67*0.8*1)</f>
        <v>263.25318400000003</v>
      </c>
      <c r="BA372" s="168">
        <f>(AS372*365)*(AT372*0.67*0.8*1)</f>
        <v>56.735599999999998</v>
      </c>
      <c r="BB372" s="168">
        <f>(AS372*365)*(AT372*0.67*0.8*1)</f>
        <v>56.735599999999998</v>
      </c>
      <c r="BC372" s="168">
        <f>(AS372*365)*(AT372*0.67*0.3*1)</f>
        <v>21.275849999999998</v>
      </c>
      <c r="BD372" s="170"/>
      <c r="BE372" s="168">
        <f>(AS372*365)*(AT372*0.67*0.8*1)</f>
        <v>56.735599999999998</v>
      </c>
      <c r="BF372" s="168">
        <f t="shared" si="598"/>
        <v>70.919499999999999</v>
      </c>
      <c r="BG372" s="169">
        <f t="shared" si="599"/>
        <v>32.906648000000004</v>
      </c>
      <c r="BH372" s="168">
        <f t="shared" si="599"/>
        <v>7.0919499999999998</v>
      </c>
      <c r="BI372" s="168">
        <f t="shared" si="600"/>
        <v>0.35459750000000001</v>
      </c>
      <c r="BJ372" s="168">
        <f>(AS372*365)*(AT372*0.67*0.015*1)</f>
        <v>1.0637924999999999</v>
      </c>
      <c r="BK372" s="168">
        <v>0</v>
      </c>
      <c r="BL372" s="168">
        <v>0</v>
      </c>
      <c r="BM372" s="168">
        <f>(BA372*365)*(BB372*0.67*0.8*1)</f>
        <v>629751.13405191049</v>
      </c>
      <c r="BN372" s="168">
        <f t="shared" si="620"/>
        <v>787188.91756488802</v>
      </c>
      <c r="BO372" s="169">
        <f t="shared" si="621"/>
        <v>365255.6577501081</v>
      </c>
      <c r="BP372" s="168">
        <f t="shared" si="621"/>
        <v>78718.891756488811</v>
      </c>
      <c r="BQ372" s="168">
        <f>(BA372*365)*(BB372*0.67*0.015*1)</f>
        <v>11807.83376347332</v>
      </c>
      <c r="BR372" s="168">
        <v>0</v>
      </c>
      <c r="BS372" s="168">
        <v>0</v>
      </c>
      <c r="BT372" s="167">
        <f t="shared" si="603"/>
        <v>35.885266999999992</v>
      </c>
      <c r="BU372" s="168"/>
      <c r="BV372" s="169"/>
      <c r="BW372" s="168"/>
      <c r="BX372" s="168"/>
      <c r="BY372" s="168"/>
      <c r="BZ372" s="168"/>
      <c r="CA372" s="167"/>
      <c r="CC372" s="98"/>
      <c r="CD372" s="118" t="s">
        <v>683</v>
      </c>
      <c r="CE372" s="99" t="s">
        <v>684</v>
      </c>
      <c r="CF372" s="103">
        <f>10/1000</f>
        <v>0.01</v>
      </c>
      <c r="CG372" s="99" t="s">
        <v>685</v>
      </c>
      <c r="CH372" s="105">
        <f>0.08/10</f>
        <v>8.0000000000000002E-3</v>
      </c>
      <c r="CI372" s="105">
        <f>20/10</f>
        <v>2</v>
      </c>
      <c r="CJ372" s="104" t="s">
        <v>385</v>
      </c>
      <c r="CK372" s="103">
        <f>0.6/1000</f>
        <v>5.9999999999999995E-4</v>
      </c>
      <c r="CL372" s="99" t="s">
        <v>686</v>
      </c>
      <c r="CM372" s="105">
        <f>0.2/0.6</f>
        <v>0.33333333333333337</v>
      </c>
      <c r="CN372" s="105">
        <f>1.2/0.6</f>
        <v>2</v>
      </c>
      <c r="CO372" s="104" t="s">
        <v>385</v>
      </c>
      <c r="CP372" s="36"/>
      <c r="CQ372" s="46"/>
      <c r="CR372" s="173"/>
      <c r="CS372" s="173"/>
      <c r="CT372" s="46"/>
      <c r="CU372" s="46"/>
      <c r="CV372" s="46"/>
      <c r="CW372" s="48"/>
      <c r="CX372" s="46"/>
      <c r="CY372" s="46"/>
      <c r="CZ372" s="48"/>
      <c r="DA372" s="48"/>
      <c r="DB372" s="48"/>
      <c r="DC372" s="48"/>
      <c r="DD372" s="46"/>
      <c r="DE372" s="46"/>
      <c r="DF372" s="48"/>
      <c r="DG372" s="48"/>
      <c r="DH372" s="48"/>
      <c r="DI372" s="49"/>
      <c r="DJ372" s="50">
        <v>0.9</v>
      </c>
      <c r="DK372" s="50">
        <f t="shared" si="594"/>
        <v>2</v>
      </c>
      <c r="DX372" s="49"/>
      <c r="DY372" s="49"/>
      <c r="DZ372" s="49"/>
      <c r="EA372" s="49"/>
      <c r="ED372" s="49"/>
    </row>
    <row r="373" spans="17:137" s="37" customFormat="1" ht="16.149999999999999" hidden="1" thickBot="1">
      <c r="X373" s="74"/>
      <c r="AB373" s="75"/>
      <c r="AJ373" s="81"/>
      <c r="AR373" s="81"/>
      <c r="AZ373" s="81"/>
      <c r="BG373" s="81"/>
      <c r="BK373" s="37">
        <v>0</v>
      </c>
      <c r="BO373" s="81"/>
      <c r="BR373" s="37">
        <v>0</v>
      </c>
      <c r="BV373" s="81"/>
      <c r="CC373" s="98"/>
      <c r="CD373" s="118" t="s">
        <v>687</v>
      </c>
      <c r="CE373" s="99" t="s">
        <v>515</v>
      </c>
      <c r="CF373" s="103">
        <f>4/1000</f>
        <v>4.0000000000000001E-3</v>
      </c>
      <c r="CG373" s="99" t="s">
        <v>685</v>
      </c>
      <c r="CH373" s="105">
        <f>0.03/4</f>
        <v>7.4999999999999997E-3</v>
      </c>
      <c r="CI373" s="105">
        <f>8/4</f>
        <v>2</v>
      </c>
      <c r="CJ373" s="104" t="s">
        <v>385</v>
      </c>
      <c r="CK373" s="103">
        <f>0.3/1000</f>
        <v>2.9999999999999997E-4</v>
      </c>
      <c r="CL373" s="99" t="s">
        <v>686</v>
      </c>
      <c r="CM373" s="105">
        <f>0.06/0.3</f>
        <v>0.2</v>
      </c>
      <c r="CN373" s="105">
        <f>0.6/0.3</f>
        <v>2</v>
      </c>
      <c r="CO373" s="104" t="s">
        <v>385</v>
      </c>
      <c r="CP373" s="36"/>
      <c r="CQ373" s="46"/>
      <c r="CR373" s="173"/>
      <c r="CS373" s="173"/>
      <c r="CT373" s="46"/>
      <c r="CU373" s="46"/>
      <c r="CV373" s="46"/>
      <c r="CW373" s="48"/>
      <c r="CX373" s="46"/>
      <c r="CY373" s="46"/>
      <c r="CZ373" s="48"/>
      <c r="DA373" s="48"/>
      <c r="DB373" s="48"/>
      <c r="DC373" s="48"/>
      <c r="DD373" s="46"/>
      <c r="DE373" s="46"/>
      <c r="DF373" s="48"/>
      <c r="DG373" s="48"/>
      <c r="DH373" s="48"/>
      <c r="DI373" s="49"/>
      <c r="DJ373" s="50">
        <v>0.9</v>
      </c>
      <c r="DK373" s="50">
        <f t="shared" si="594"/>
        <v>2</v>
      </c>
      <c r="DX373" s="49"/>
      <c r="DY373" s="49"/>
      <c r="DZ373" s="49"/>
      <c r="EA373" s="49"/>
      <c r="ED373" s="49"/>
    </row>
    <row r="374" spans="17:137" s="37" customFormat="1" ht="16.149999999999999" hidden="1" thickBot="1">
      <c r="X374" s="74"/>
      <c r="AB374" s="75"/>
      <c r="AJ374" s="81"/>
      <c r="AR374" s="81"/>
      <c r="AZ374" s="81"/>
      <c r="BG374" s="81"/>
      <c r="BN374" s="81"/>
      <c r="BV374" s="81"/>
      <c r="CC374" s="98"/>
      <c r="CD374" s="118" t="s">
        <v>688</v>
      </c>
      <c r="CE374" s="99" t="s">
        <v>684</v>
      </c>
      <c r="CF374" s="103">
        <f>2/1000</f>
        <v>2E-3</v>
      </c>
      <c r="CG374" s="99" t="s">
        <v>685</v>
      </c>
      <c r="CH374" s="105">
        <f>0/2</f>
        <v>0</v>
      </c>
      <c r="CI374" s="105">
        <f>20/2</f>
        <v>10</v>
      </c>
      <c r="CJ374" s="104" t="s">
        <v>385</v>
      </c>
      <c r="CK374" s="103">
        <v>0</v>
      </c>
      <c r="CL374" s="99" t="s">
        <v>686</v>
      </c>
      <c r="CM374" s="105">
        <v>0</v>
      </c>
      <c r="CN374" s="105">
        <v>0</v>
      </c>
      <c r="CO374" s="104" t="s">
        <v>385</v>
      </c>
      <c r="CP374" s="36"/>
      <c r="CQ374" s="46"/>
      <c r="CR374" s="173"/>
      <c r="CS374" s="173"/>
      <c r="CT374" s="46"/>
      <c r="CU374" s="46"/>
      <c r="CV374" s="46"/>
      <c r="CW374" s="48"/>
      <c r="CX374" s="46"/>
      <c r="CY374" s="46"/>
      <c r="CZ374" s="48"/>
      <c r="DA374" s="48"/>
      <c r="DB374" s="48"/>
      <c r="DC374" s="48"/>
      <c r="DD374" s="46"/>
      <c r="DE374" s="46"/>
      <c r="DF374" s="48"/>
      <c r="DG374" s="48"/>
      <c r="DH374" s="48"/>
      <c r="DI374" s="49"/>
      <c r="DJ374" s="50">
        <v>0.9</v>
      </c>
      <c r="DK374" s="50">
        <f t="shared" si="594"/>
        <v>10</v>
      </c>
      <c r="DX374" s="49"/>
      <c r="DY374" s="49"/>
      <c r="DZ374" s="49"/>
      <c r="EA374" s="49"/>
      <c r="ED374" s="49"/>
    </row>
    <row r="375" spans="17:137" s="37" customFormat="1" ht="28.15" hidden="1" thickBot="1">
      <c r="X375" s="74"/>
      <c r="AB375" s="75"/>
      <c r="AJ375" s="81"/>
      <c r="AR375" s="81"/>
      <c r="AZ375" s="81"/>
      <c r="BG375" s="81"/>
      <c r="BN375" s="81"/>
      <c r="BP375" s="38" t="s">
        <v>689</v>
      </c>
      <c r="BQ375" s="38" t="s">
        <v>690</v>
      </c>
      <c r="BR375" s="38" t="s">
        <v>691</v>
      </c>
      <c r="BS375" s="38"/>
      <c r="BV375" s="81"/>
      <c r="BX375" s="38"/>
      <c r="BY375" s="38"/>
      <c r="BZ375" s="38"/>
      <c r="CA375" s="38"/>
      <c r="CC375" s="98"/>
      <c r="CD375" s="118" t="s">
        <v>692</v>
      </c>
      <c r="CE375" s="99" t="s">
        <v>515</v>
      </c>
      <c r="CF375" s="103">
        <f>1/1000</f>
        <v>1E-3</v>
      </c>
      <c r="CG375" s="99" t="s">
        <v>685</v>
      </c>
      <c r="CH375" s="105">
        <f>0/2</f>
        <v>0</v>
      </c>
      <c r="CI375" s="105">
        <f>8/1</f>
        <v>8</v>
      </c>
      <c r="CJ375" s="104" t="s">
        <v>385</v>
      </c>
      <c r="CK375" s="103">
        <v>0</v>
      </c>
      <c r="CL375" s="99" t="s">
        <v>686</v>
      </c>
      <c r="CM375" s="105">
        <v>0</v>
      </c>
      <c r="CN375" s="105">
        <v>0</v>
      </c>
      <c r="CO375" s="104" t="s">
        <v>385</v>
      </c>
      <c r="CP375" s="36"/>
      <c r="CQ375" s="46"/>
      <c r="CR375" s="173"/>
      <c r="CS375" s="173"/>
      <c r="CT375" s="46"/>
      <c r="CU375" s="46"/>
      <c r="CV375" s="46"/>
      <c r="CW375" s="48"/>
      <c r="CX375" s="46"/>
      <c r="CY375" s="46"/>
      <c r="CZ375" s="48"/>
      <c r="DA375" s="48"/>
      <c r="DB375" s="48"/>
      <c r="DC375" s="48"/>
      <c r="DD375" s="46"/>
      <c r="DE375" s="46"/>
      <c r="DF375" s="48"/>
      <c r="DG375" s="48"/>
      <c r="DH375" s="48"/>
      <c r="DI375" s="49"/>
      <c r="DJ375" s="50">
        <v>0.9</v>
      </c>
      <c r="DK375" s="50">
        <f t="shared" si="594"/>
        <v>8</v>
      </c>
      <c r="DX375" s="49"/>
      <c r="DY375" s="49"/>
      <c r="DZ375" s="49"/>
      <c r="EA375" s="49"/>
      <c r="ED375" s="49"/>
    </row>
    <row r="376" spans="17:137" s="37" customFormat="1" ht="28.15" hidden="1" thickBot="1">
      <c r="X376" s="74"/>
      <c r="AB376" s="75"/>
      <c r="AJ376" s="81"/>
      <c r="AR376" s="81"/>
      <c r="AZ376" s="81"/>
      <c r="BG376" s="81"/>
      <c r="BN376" s="81"/>
      <c r="BP376" s="38">
        <v>50.4</v>
      </c>
      <c r="BQ376" s="38">
        <v>22</v>
      </c>
      <c r="BR376" s="38">
        <f>BQ376/((BP376*1000*1000)/(1000*1000))</f>
        <v>0.43650793650793651</v>
      </c>
      <c r="BS376" s="38"/>
      <c r="BV376" s="81"/>
      <c r="BX376" s="38"/>
      <c r="BY376" s="38"/>
      <c r="BZ376" s="38"/>
      <c r="CA376" s="38"/>
      <c r="CC376" s="98"/>
      <c r="CD376" s="118" t="s">
        <v>693</v>
      </c>
      <c r="CE376" s="99" t="s">
        <v>694</v>
      </c>
      <c r="CF376" s="103">
        <f>BR376*CA376</f>
        <v>0</v>
      </c>
      <c r="CG376" s="99" t="s">
        <v>695</v>
      </c>
      <c r="CH376" s="105">
        <f>0%/5%</f>
        <v>0</v>
      </c>
      <c r="CI376" s="105">
        <f>10%/5%</f>
        <v>2</v>
      </c>
      <c r="CJ376" s="104" t="s">
        <v>385</v>
      </c>
      <c r="CK376" s="103">
        <v>0</v>
      </c>
      <c r="CL376" s="99" t="s">
        <v>696</v>
      </c>
      <c r="CM376" s="105">
        <v>0</v>
      </c>
      <c r="CN376" s="105">
        <v>0</v>
      </c>
      <c r="CO376" s="104" t="s">
        <v>385</v>
      </c>
      <c r="CP376" s="36"/>
      <c r="CQ376" s="46"/>
      <c r="CR376" s="173"/>
      <c r="CS376" s="173"/>
      <c r="CT376" s="46"/>
      <c r="CU376" s="46"/>
      <c r="CV376" s="46"/>
      <c r="CW376" s="48"/>
      <c r="CX376" s="46"/>
      <c r="CY376" s="46"/>
      <c r="CZ376" s="48"/>
      <c r="DA376" s="48"/>
      <c r="DB376" s="48"/>
      <c r="DC376" s="48"/>
      <c r="DD376" s="46"/>
      <c r="DE376" s="46"/>
      <c r="DF376" s="48"/>
      <c r="DG376" s="48"/>
      <c r="DH376" s="48"/>
      <c r="DI376" s="49"/>
      <c r="DJ376" s="50"/>
      <c r="DK376" s="50">
        <f t="shared" si="594"/>
        <v>2</v>
      </c>
      <c r="DX376" s="49"/>
      <c r="DY376" s="49"/>
      <c r="DZ376" s="49"/>
      <c r="EA376" s="49"/>
      <c r="ED376" s="49"/>
    </row>
    <row r="377" spans="17:137" s="37" customFormat="1" ht="16.149999999999999" hidden="1" thickBot="1">
      <c r="X377" s="74"/>
      <c r="AB377" s="75"/>
      <c r="AJ377" s="81"/>
      <c r="AR377" s="81"/>
      <c r="AZ377" s="81"/>
      <c r="BG377" s="81"/>
      <c r="BN377" s="81"/>
      <c r="BV377" s="81"/>
      <c r="CC377" s="98"/>
      <c r="CD377" s="118" t="s">
        <v>697</v>
      </c>
      <c r="CE377" s="99" t="s">
        <v>340</v>
      </c>
      <c r="CF377" s="103">
        <f>(0.85*2.7)/1000</f>
        <v>2.2949999999999997E-3</v>
      </c>
      <c r="CG377" s="99" t="s">
        <v>685</v>
      </c>
      <c r="CH377" s="105">
        <f>0.9/2.7</f>
        <v>0.33333333333333331</v>
      </c>
      <c r="CI377" s="105">
        <f>0.9/2.7</f>
        <v>0.33333333333333331</v>
      </c>
      <c r="CJ377" s="104" t="s">
        <v>385</v>
      </c>
      <c r="CK377" s="103">
        <f>(0.85*0.007)/1000</f>
        <v>5.9499999999999998E-6</v>
      </c>
      <c r="CL377" s="99" t="s">
        <v>686</v>
      </c>
      <c r="CM377" s="105">
        <f>0.1/0.07</f>
        <v>1.4285714285714286</v>
      </c>
      <c r="CN377" s="105">
        <f>0.1/0.07</f>
        <v>1.4285714285714286</v>
      </c>
      <c r="CO377" s="104" t="s">
        <v>385</v>
      </c>
      <c r="CP377" s="36"/>
      <c r="CQ377" s="103">
        <f>1515/1000</f>
        <v>1.5149999999999999</v>
      </c>
      <c r="CR377" s="99" t="s">
        <v>353</v>
      </c>
      <c r="CS377" s="105">
        <f>177/1515</f>
        <v>0.11683168316831684</v>
      </c>
      <c r="CT377" s="105">
        <f>177/1515</f>
        <v>0.11683168316831684</v>
      </c>
      <c r="CU377" s="104" t="s">
        <v>385</v>
      </c>
      <c r="CV377" s="46"/>
      <c r="CW377" s="48"/>
      <c r="CX377" s="46"/>
      <c r="CY377" s="46"/>
      <c r="CZ377" s="48"/>
      <c r="DA377" s="48"/>
      <c r="DB377" s="48"/>
      <c r="DC377" s="48"/>
      <c r="DD377" s="46"/>
      <c r="DE377" s="46"/>
      <c r="DF377" s="48"/>
      <c r="DG377" s="48"/>
      <c r="DH377" s="48"/>
      <c r="DI377" s="49">
        <f>CQ377</f>
        <v>1.5149999999999999</v>
      </c>
      <c r="DJ377" s="50"/>
      <c r="DK377" s="50">
        <f t="shared" si="594"/>
        <v>0.33333333333333331</v>
      </c>
      <c r="DX377" s="49"/>
      <c r="DY377" s="49"/>
      <c r="DZ377" s="49"/>
      <c r="EA377" s="49"/>
      <c r="ED377" s="49"/>
    </row>
    <row r="378" spans="17:137" s="37" customFormat="1" ht="16.149999999999999" hidden="1" thickBot="1">
      <c r="X378" s="74"/>
      <c r="AB378" s="75"/>
      <c r="AJ378" s="81"/>
      <c r="AR378" s="81"/>
      <c r="AZ378" s="81"/>
      <c r="BG378" s="81"/>
      <c r="BN378" s="81"/>
      <c r="BV378" s="81"/>
      <c r="CC378" s="98"/>
      <c r="CD378" s="118" t="s">
        <v>698</v>
      </c>
      <c r="CE378" s="99" t="s">
        <v>340</v>
      </c>
      <c r="CF378" s="103">
        <f>(0.92*2.3)/1000</f>
        <v>2.1160000000000003E-3</v>
      </c>
      <c r="CG378" s="99" t="s">
        <v>685</v>
      </c>
      <c r="CH378" s="105">
        <f>0.9/2.3</f>
        <v>0.39130434782608697</v>
      </c>
      <c r="CI378" s="105">
        <f>0.9/2.3</f>
        <v>0.39130434782608697</v>
      </c>
      <c r="CJ378" s="104" t="s">
        <v>385</v>
      </c>
      <c r="CK378" s="103">
        <f>(0.92*0.21)/1000</f>
        <v>1.9320000000000001E-4</v>
      </c>
      <c r="CL378" s="99" t="s">
        <v>686</v>
      </c>
      <c r="CM378" s="105">
        <f>0.1/0.21</f>
        <v>0.47619047619047622</v>
      </c>
      <c r="CN378" s="105">
        <f>0.1/0.21</f>
        <v>0.47619047619047622</v>
      </c>
      <c r="CO378" s="104" t="s">
        <v>385</v>
      </c>
      <c r="CP378" s="36"/>
      <c r="CQ378" s="103">
        <f>1613/1000</f>
        <v>1.613</v>
      </c>
      <c r="CR378" s="99" t="s">
        <v>353</v>
      </c>
      <c r="CS378" s="105">
        <f>95/1613</f>
        <v>5.8896466212027279E-2</v>
      </c>
      <c r="CT378" s="105">
        <f>95/1613</f>
        <v>5.8896466212027279E-2</v>
      </c>
      <c r="CU378" s="104" t="s">
        <v>385</v>
      </c>
      <c r="CV378" s="46"/>
      <c r="CW378" s="48"/>
      <c r="CX378" s="46"/>
      <c r="CY378" s="46"/>
      <c r="CZ378" s="48"/>
      <c r="DA378" s="48"/>
      <c r="DB378" s="48"/>
      <c r="DC378" s="48"/>
      <c r="DD378" s="46"/>
      <c r="DE378" s="46"/>
      <c r="DF378" s="48"/>
      <c r="DG378" s="48"/>
      <c r="DH378" s="48"/>
      <c r="DI378" s="49">
        <f>CQ378</f>
        <v>1.613</v>
      </c>
      <c r="DJ378" s="50"/>
      <c r="DK378" s="50">
        <f t="shared" si="594"/>
        <v>0.39130434782608697</v>
      </c>
      <c r="DX378" s="49"/>
      <c r="DY378" s="49"/>
      <c r="DZ378" s="49"/>
      <c r="EA378" s="49"/>
      <c r="ED378" s="49"/>
    </row>
    <row r="379" spans="17:137" s="37" customFormat="1" hidden="1">
      <c r="X379" s="74"/>
      <c r="AB379" s="75"/>
      <c r="AJ379" s="81"/>
      <c r="AR379" s="81"/>
      <c r="AZ379" s="81"/>
      <c r="BG379" s="81"/>
      <c r="BN379" s="81"/>
      <c r="BV379" s="81"/>
      <c r="CC379" s="98"/>
      <c r="CD379" s="36"/>
      <c r="CE379" s="46"/>
      <c r="CF379" s="46"/>
      <c r="CG379" s="46"/>
      <c r="CH379" s="47"/>
      <c r="CI379" s="47"/>
      <c r="CJ379" s="47"/>
      <c r="CK379" s="173"/>
      <c r="CL379" s="46"/>
      <c r="CM379" s="173"/>
      <c r="CN379" s="173"/>
      <c r="CO379" s="173"/>
      <c r="CP379" s="173"/>
      <c r="CQ379" s="46"/>
      <c r="CR379" s="173"/>
      <c r="CS379" s="173"/>
      <c r="CT379" s="46"/>
      <c r="CU379" s="46"/>
      <c r="CV379" s="46"/>
      <c r="CW379" s="48"/>
      <c r="CX379" s="46"/>
      <c r="CY379" s="46"/>
      <c r="CZ379" s="48"/>
      <c r="DA379" s="48"/>
      <c r="DB379" s="48"/>
      <c r="DC379" s="48"/>
      <c r="DD379" s="46"/>
      <c r="DE379" s="46"/>
      <c r="DF379" s="48"/>
      <c r="DG379" s="48"/>
      <c r="DH379" s="48"/>
      <c r="DI379" s="49"/>
      <c r="DJ379" s="50"/>
      <c r="DK379" s="50">
        <f t="shared" si="594"/>
        <v>0</v>
      </c>
      <c r="DX379" s="49"/>
      <c r="DY379" s="49"/>
      <c r="DZ379" s="49"/>
      <c r="EA379" s="49"/>
      <c r="EC379" s="37" t="s">
        <v>699</v>
      </c>
      <c r="ED379" s="37" t="s">
        <v>591</v>
      </c>
      <c r="EE379" s="37" t="s">
        <v>675</v>
      </c>
    </row>
    <row r="380" spans="17:137" s="37" customFormat="1" ht="14.65" hidden="1" thickBot="1">
      <c r="X380" s="74"/>
      <c r="AB380" s="75"/>
      <c r="AJ380" s="81"/>
      <c r="AR380" s="81"/>
      <c r="AZ380" s="81"/>
      <c r="BG380" s="81"/>
      <c r="BN380" s="81"/>
      <c r="BV380" s="81"/>
      <c r="CC380" s="98"/>
      <c r="CD380" s="36"/>
      <c r="CE380" s="46"/>
      <c r="CF380" s="46"/>
      <c r="CG380" s="46"/>
      <c r="CH380" s="47"/>
      <c r="CI380" s="47"/>
      <c r="CJ380" s="47"/>
      <c r="CK380" s="173"/>
      <c r="CL380" s="173"/>
      <c r="CM380" s="173"/>
      <c r="CN380" s="173"/>
      <c r="CO380" s="173"/>
      <c r="CP380" s="173"/>
      <c r="CQ380" s="46"/>
      <c r="CR380" s="173"/>
      <c r="CS380" s="173"/>
      <c r="CT380" s="46"/>
      <c r="CU380" s="46"/>
      <c r="CV380" s="46"/>
      <c r="CW380" s="48"/>
      <c r="CX380" s="46"/>
      <c r="CY380" s="46"/>
      <c r="CZ380" s="48"/>
      <c r="DA380" s="48"/>
      <c r="DB380" s="48"/>
      <c r="DC380" s="48"/>
      <c r="DD380" s="46"/>
      <c r="DE380" s="46"/>
      <c r="DF380" s="48"/>
      <c r="DG380" s="48"/>
      <c r="DH380" s="48"/>
      <c r="DI380" s="49"/>
      <c r="DJ380" s="50"/>
      <c r="DK380" s="50">
        <f t="shared" si="594"/>
        <v>0</v>
      </c>
      <c r="DX380" s="49"/>
      <c r="DY380" s="49"/>
      <c r="DZ380" s="49"/>
      <c r="EA380" s="49"/>
      <c r="EC380" s="37">
        <v>1.4999999999999999E-2</v>
      </c>
      <c r="ED380" s="37">
        <v>7.0000000000000001E-3</v>
      </c>
      <c r="EE380" s="37">
        <f>+DW369*DX369*EB369*EC380*ED380*310</f>
        <v>1.4647500000000001E-2</v>
      </c>
    </row>
    <row r="381" spans="17:137" s="37" customFormat="1" hidden="1">
      <c r="X381" s="74"/>
      <c r="AB381" s="75"/>
      <c r="AJ381" s="81"/>
      <c r="AR381" s="81"/>
      <c r="AZ381" s="81"/>
      <c r="BG381" s="81"/>
      <c r="BN381" s="81"/>
      <c r="BV381" s="81"/>
      <c r="CC381" s="98"/>
      <c r="CD381" s="549" t="s">
        <v>700</v>
      </c>
      <c r="CE381" s="92"/>
      <c r="CF381" s="549" t="s">
        <v>680</v>
      </c>
      <c r="CG381" s="92"/>
      <c r="CH381" s="549" t="s">
        <v>283</v>
      </c>
      <c r="CI381" s="549" t="s">
        <v>283</v>
      </c>
      <c r="CJ381" s="549" t="s">
        <v>284</v>
      </c>
      <c r="CK381" s="173"/>
      <c r="CL381" s="173"/>
      <c r="CM381" s="173"/>
      <c r="CN381" s="173"/>
      <c r="CO381" s="173"/>
      <c r="CP381" s="173"/>
      <c r="CQ381" s="46"/>
      <c r="CR381" s="173"/>
      <c r="CS381" s="173"/>
      <c r="CT381" s="46"/>
      <c r="CU381" s="46"/>
      <c r="CV381" s="46"/>
      <c r="CW381" s="48"/>
      <c r="CX381" s="46"/>
      <c r="CY381" s="46"/>
      <c r="CZ381" s="48"/>
      <c r="DA381" s="48"/>
      <c r="DB381" s="48"/>
      <c r="DC381" s="48"/>
      <c r="DD381" s="46"/>
      <c r="DE381" s="46"/>
      <c r="DF381" s="48"/>
      <c r="DG381" s="48"/>
      <c r="DH381" s="48"/>
      <c r="DI381" s="49"/>
      <c r="DJ381" s="50"/>
      <c r="DK381" s="50" t="str">
        <f t="shared" si="594"/>
        <v>Incertidumbre (+/- %)</v>
      </c>
      <c r="DX381" s="49"/>
      <c r="DY381" s="49"/>
      <c r="DZ381" s="49"/>
      <c r="EA381" s="49"/>
    </row>
    <row r="382" spans="17:137" s="37" customFormat="1" ht="14.65" hidden="1" thickBot="1">
      <c r="X382" s="74"/>
      <c r="AB382" s="75"/>
      <c r="AJ382" s="81"/>
      <c r="AR382" s="81"/>
      <c r="AZ382" s="81"/>
      <c r="BG382" s="81"/>
      <c r="BN382" s="81"/>
      <c r="BV382" s="81"/>
      <c r="CC382" s="98"/>
      <c r="CD382" s="550"/>
      <c r="CE382" s="94" t="s">
        <v>290</v>
      </c>
      <c r="CF382" s="550"/>
      <c r="CG382" s="94" t="s">
        <v>291</v>
      </c>
      <c r="CH382" s="550"/>
      <c r="CI382" s="550"/>
      <c r="CJ382" s="550"/>
      <c r="CK382" s="173"/>
      <c r="CL382" s="173"/>
      <c r="CM382" s="173"/>
      <c r="CN382" s="173"/>
      <c r="CO382" s="173"/>
      <c r="CP382" s="173"/>
      <c r="CQ382" s="46"/>
      <c r="CR382" s="173"/>
      <c r="CS382" s="173"/>
      <c r="CT382" s="46"/>
      <c r="CU382" s="46"/>
      <c r="CV382" s="46"/>
      <c r="CW382" s="48"/>
      <c r="CX382" s="46"/>
      <c r="CY382" s="46"/>
      <c r="CZ382" s="48"/>
      <c r="DA382" s="48"/>
      <c r="DB382" s="48"/>
      <c r="DC382" s="48"/>
      <c r="DD382" s="46"/>
      <c r="DE382" s="46"/>
      <c r="DF382" s="48"/>
      <c r="DG382" s="48"/>
      <c r="DH382" s="48"/>
      <c r="DI382" s="49"/>
      <c r="DJ382" s="50"/>
      <c r="DK382" s="50">
        <f t="shared" si="594"/>
        <v>0</v>
      </c>
      <c r="DX382" s="49"/>
      <c r="DY382" s="49"/>
      <c r="DZ382" s="49"/>
      <c r="EA382" s="49"/>
      <c r="EE382" s="37">
        <f>+DW369*DX369*EB369*EC380*ED380*298</f>
        <v>1.4080500000000001E-2</v>
      </c>
    </row>
    <row r="383" spans="17:137" s="37" customFormat="1" ht="16.149999999999999" hidden="1" thickBot="1">
      <c r="X383" s="74"/>
      <c r="AB383" s="75"/>
      <c r="AJ383" s="81"/>
      <c r="AR383" s="81"/>
      <c r="AZ383" s="81"/>
      <c r="BG383" s="81"/>
      <c r="BN383" s="81"/>
      <c r="BV383" s="81"/>
      <c r="CC383" s="98"/>
      <c r="CD383" s="118" t="s">
        <v>701</v>
      </c>
      <c r="CE383" s="99" t="s">
        <v>702</v>
      </c>
      <c r="CF383" s="103">
        <f>0.016*44/28</f>
        <v>2.514285714285714E-2</v>
      </c>
      <c r="CG383" s="99" t="s">
        <v>703</v>
      </c>
      <c r="CH383" s="105">
        <v>0.1</v>
      </c>
      <c r="CI383" s="105">
        <v>3</v>
      </c>
      <c r="CJ383" s="104" t="s">
        <v>437</v>
      </c>
      <c r="CK383" s="173"/>
      <c r="CL383" s="173"/>
      <c r="CM383" s="173"/>
      <c r="CN383" s="173"/>
      <c r="CO383" s="173"/>
      <c r="CP383" s="173"/>
      <c r="CQ383" s="46"/>
      <c r="CR383" s="173"/>
      <c r="CS383" s="173"/>
      <c r="CT383" s="46"/>
      <c r="CU383" s="46"/>
      <c r="CV383" s="46"/>
      <c r="CW383" s="48"/>
      <c r="CX383" s="46"/>
      <c r="CY383" s="46"/>
      <c r="CZ383" s="48"/>
      <c r="DA383" s="48"/>
      <c r="DB383" s="48"/>
      <c r="DC383" s="48"/>
      <c r="DD383" s="46"/>
      <c r="DE383" s="46"/>
      <c r="DF383" s="48"/>
      <c r="DG383" s="48"/>
      <c r="DH383" s="48"/>
      <c r="DI383" s="49"/>
      <c r="DJ383" s="50"/>
      <c r="DK383" s="50">
        <f t="shared" si="594"/>
        <v>3</v>
      </c>
      <c r="DX383" s="49"/>
      <c r="DY383" s="49"/>
      <c r="DZ383" s="49"/>
      <c r="EA383" s="49"/>
    </row>
    <row r="384" spans="17:137" s="37" customFormat="1" ht="28.15" hidden="1" thickBot="1">
      <c r="X384" s="74"/>
      <c r="AB384" s="75"/>
      <c r="AJ384" s="81"/>
      <c r="AR384" s="81"/>
      <c r="AZ384" s="81"/>
      <c r="BG384" s="81"/>
      <c r="BN384" s="81"/>
      <c r="BV384" s="81"/>
      <c r="CC384" s="98"/>
      <c r="CD384" s="118" t="s">
        <v>704</v>
      </c>
      <c r="CE384" s="99" t="s">
        <v>702</v>
      </c>
      <c r="CF384" s="103">
        <f>0.006*44/28</f>
        <v>9.4285714285714285E-3</v>
      </c>
      <c r="CG384" s="99" t="s">
        <v>703</v>
      </c>
      <c r="CH384" s="105">
        <v>0.1</v>
      </c>
      <c r="CI384" s="105">
        <v>3</v>
      </c>
      <c r="CJ384" s="104" t="s">
        <v>437</v>
      </c>
      <c r="CK384" s="173"/>
      <c r="CL384" s="173"/>
      <c r="CM384" s="173"/>
      <c r="CN384" s="173"/>
      <c r="CO384" s="173"/>
      <c r="CP384" s="173"/>
      <c r="CQ384" s="46"/>
      <c r="CR384" s="173"/>
      <c r="CS384" s="173"/>
      <c r="CT384" s="46"/>
      <c r="CU384" s="46"/>
      <c r="CV384" s="46"/>
      <c r="CW384" s="48"/>
      <c r="CX384" s="46"/>
      <c r="CY384" s="46"/>
      <c r="CZ384" s="48"/>
      <c r="DA384" s="48"/>
      <c r="DB384" s="48"/>
      <c r="DC384" s="48"/>
      <c r="DD384" s="46"/>
      <c r="DE384" s="46"/>
      <c r="DF384" s="48"/>
      <c r="DG384" s="48"/>
      <c r="DH384" s="48"/>
      <c r="DI384" s="49"/>
      <c r="DJ384" s="50"/>
      <c r="DK384" s="50">
        <f t="shared" si="594"/>
        <v>3</v>
      </c>
      <c r="DX384" s="49"/>
      <c r="DY384" s="49"/>
      <c r="DZ384" s="49"/>
      <c r="EA384" s="49"/>
    </row>
    <row r="385" spans="24:135" s="37" customFormat="1" ht="28.15" hidden="1" thickBot="1">
      <c r="X385" s="74"/>
      <c r="AB385" s="75"/>
      <c r="AJ385" s="81"/>
      <c r="AR385" s="81"/>
      <c r="AZ385" s="81"/>
      <c r="BG385" s="81"/>
      <c r="BN385" s="81"/>
      <c r="BV385" s="81"/>
      <c r="CC385" s="98"/>
      <c r="CD385" s="118" t="s">
        <v>705</v>
      </c>
      <c r="CE385" s="99" t="s">
        <v>702</v>
      </c>
      <c r="CF385" s="103">
        <f>0.01*44/28</f>
        <v>1.5714285714285715E-2</v>
      </c>
      <c r="CG385" s="99" t="s">
        <v>703</v>
      </c>
      <c r="CH385" s="105">
        <v>0.1</v>
      </c>
      <c r="CI385" s="105">
        <v>3</v>
      </c>
      <c r="CJ385" s="104" t="s">
        <v>437</v>
      </c>
      <c r="CK385" s="173"/>
      <c r="CL385" s="173"/>
      <c r="CM385" s="173"/>
      <c r="CN385" s="173"/>
      <c r="CO385" s="173"/>
      <c r="CP385" s="173"/>
      <c r="CQ385" s="46"/>
      <c r="CR385" s="173"/>
      <c r="CS385" s="173"/>
      <c r="CT385" s="46"/>
      <c r="CU385" s="46"/>
      <c r="CV385" s="46"/>
      <c r="CW385" s="48"/>
      <c r="CX385" s="46"/>
      <c r="CY385" s="46"/>
      <c r="CZ385" s="48"/>
      <c r="DA385" s="48"/>
      <c r="DB385" s="48"/>
      <c r="DC385" s="48"/>
      <c r="DD385" s="46"/>
      <c r="DE385" s="46"/>
      <c r="DF385" s="48"/>
      <c r="DG385" s="48"/>
      <c r="DH385" s="48"/>
      <c r="DI385" s="49"/>
      <c r="DJ385" s="50"/>
      <c r="DK385" s="50">
        <f t="shared" ref="DK385" si="622">CI385</f>
        <v>3</v>
      </c>
      <c r="DX385" s="49"/>
      <c r="DY385" s="49"/>
      <c r="DZ385" s="49"/>
      <c r="EA385" s="49"/>
    </row>
    <row r="386" spans="24:135" s="37" customFormat="1" ht="28.15" hidden="1" thickBot="1">
      <c r="X386" s="74"/>
      <c r="AB386" s="75"/>
      <c r="AJ386" s="81"/>
      <c r="AR386" s="81"/>
      <c r="AZ386" s="81"/>
      <c r="BG386" s="81"/>
      <c r="BN386" s="81"/>
      <c r="BV386" s="81"/>
      <c r="CC386" s="98"/>
      <c r="CD386" s="118" t="s">
        <v>706</v>
      </c>
      <c r="CE386" s="99" t="s">
        <v>702</v>
      </c>
      <c r="CF386" s="103">
        <f>0.06*44/28</f>
        <v>9.4285714285714278E-2</v>
      </c>
      <c r="CG386" s="99" t="s">
        <v>703</v>
      </c>
      <c r="CH386" s="105">
        <v>0.35</v>
      </c>
      <c r="CI386" s="105">
        <v>3</v>
      </c>
      <c r="CJ386" s="104" t="s">
        <v>437</v>
      </c>
      <c r="CK386" s="173"/>
      <c r="CL386" s="173"/>
      <c r="CM386" s="173"/>
      <c r="CN386" s="173"/>
      <c r="CO386" s="173"/>
      <c r="CP386" s="173"/>
      <c r="CQ386" s="46"/>
      <c r="CR386" s="173"/>
      <c r="CS386" s="173"/>
      <c r="CT386" s="46"/>
      <c r="CU386" s="46"/>
      <c r="CV386" s="46"/>
      <c r="CW386" s="48"/>
      <c r="CX386" s="46"/>
      <c r="CY386" s="46"/>
      <c r="CZ386" s="48"/>
      <c r="DA386" s="48"/>
      <c r="DB386" s="48"/>
      <c r="DC386" s="48"/>
      <c r="DD386" s="46"/>
      <c r="DE386" s="46"/>
      <c r="DF386" s="48"/>
      <c r="DG386" s="48"/>
      <c r="DH386" s="48"/>
      <c r="DI386" s="49"/>
      <c r="DJ386" s="50"/>
      <c r="DK386" s="50">
        <f t="shared" si="594"/>
        <v>3</v>
      </c>
      <c r="DX386" s="49"/>
      <c r="DY386" s="49"/>
      <c r="DZ386" s="49"/>
      <c r="EA386" s="49"/>
    </row>
    <row r="387" spans="24:135" s="37" customFormat="1" ht="28.15" hidden="1" thickBot="1">
      <c r="X387" s="74"/>
      <c r="AB387" s="75"/>
      <c r="AJ387" s="81"/>
      <c r="AR387" s="81"/>
      <c r="AZ387" s="81"/>
      <c r="BG387" s="81"/>
      <c r="BN387" s="81"/>
      <c r="BV387" s="81"/>
      <c r="CC387" s="98"/>
      <c r="CD387" s="118" t="s">
        <v>707</v>
      </c>
      <c r="CE387" s="99" t="s">
        <v>702</v>
      </c>
      <c r="CF387" s="103">
        <f>0.02*44/28</f>
        <v>3.1428571428571431E-2</v>
      </c>
      <c r="CG387" s="99" t="s">
        <v>703</v>
      </c>
      <c r="CH387" s="105">
        <v>0.33329999999999999</v>
      </c>
      <c r="CI387" s="105">
        <v>3</v>
      </c>
      <c r="CJ387" s="104" t="s">
        <v>437</v>
      </c>
      <c r="CK387" s="173"/>
      <c r="CL387" s="173"/>
      <c r="CM387" s="173"/>
      <c r="CN387" s="173"/>
      <c r="CO387" s="173"/>
      <c r="CP387" s="173"/>
      <c r="CQ387" s="46"/>
      <c r="CR387" s="173"/>
      <c r="CS387" s="173"/>
      <c r="CT387" s="46"/>
      <c r="CU387" s="46"/>
      <c r="CV387" s="46"/>
      <c r="CW387" s="48"/>
      <c r="CX387" s="46"/>
      <c r="CY387" s="46"/>
      <c r="CZ387" s="48"/>
      <c r="DA387" s="48"/>
      <c r="DB387" s="48"/>
      <c r="DC387" s="48"/>
      <c r="DD387" s="46"/>
      <c r="DE387" s="46"/>
      <c r="DF387" s="48"/>
      <c r="DG387" s="48"/>
      <c r="DH387" s="48"/>
      <c r="DI387" s="49"/>
      <c r="DJ387" s="50"/>
      <c r="DK387" s="50">
        <f t="shared" ref="DK387" si="623">CI387</f>
        <v>3</v>
      </c>
      <c r="DX387" s="49"/>
      <c r="DY387" s="49"/>
      <c r="DZ387" s="49"/>
      <c r="EA387" s="49"/>
    </row>
    <row r="388" spans="24:135" s="37" customFormat="1" ht="16.149999999999999" hidden="1" thickBot="1">
      <c r="X388" s="74"/>
      <c r="AB388" s="75"/>
      <c r="AJ388" s="81"/>
      <c r="AR388" s="81"/>
      <c r="AZ388" s="81"/>
      <c r="BG388" s="81"/>
      <c r="BN388" s="81"/>
      <c r="BV388" s="81"/>
      <c r="CC388" s="98"/>
      <c r="CD388" s="118" t="s">
        <v>708</v>
      </c>
      <c r="CE388" s="99" t="s">
        <v>702</v>
      </c>
      <c r="CF388" s="103">
        <f>0.01*44/28</f>
        <v>1.5714285714285715E-2</v>
      </c>
      <c r="CG388" s="99" t="s">
        <v>703</v>
      </c>
      <c r="CH388" s="105">
        <v>0.33329999999999999</v>
      </c>
      <c r="CI388" s="105">
        <v>3</v>
      </c>
      <c r="CJ388" s="104" t="s">
        <v>437</v>
      </c>
      <c r="CK388" s="173"/>
      <c r="CL388" s="173"/>
      <c r="CM388" s="173"/>
      <c r="CN388" s="173"/>
      <c r="CO388" s="173"/>
      <c r="CP388" s="173"/>
      <c r="CQ388" s="46"/>
      <c r="CR388" s="173"/>
      <c r="CS388" s="173"/>
      <c r="CT388" s="46"/>
      <c r="CU388" s="46"/>
      <c r="CV388" s="46"/>
      <c r="CW388" s="48"/>
      <c r="CX388" s="46"/>
      <c r="CY388" s="46"/>
      <c r="CZ388" s="48"/>
      <c r="DA388" s="48"/>
      <c r="DB388" s="48"/>
      <c r="DC388" s="48"/>
      <c r="DD388" s="46"/>
      <c r="DE388" s="46"/>
      <c r="DF388" s="48"/>
      <c r="DG388" s="48"/>
      <c r="DH388" s="48"/>
      <c r="DI388" s="49"/>
      <c r="DJ388" s="50"/>
      <c r="DK388" s="50">
        <f t="shared" si="594"/>
        <v>3</v>
      </c>
      <c r="DX388" s="49"/>
      <c r="DY388" s="49"/>
      <c r="DZ388" s="49"/>
      <c r="EA388" s="49"/>
    </row>
    <row r="389" spans="24:135" s="37" customFormat="1" ht="28.15" hidden="1" thickBot="1">
      <c r="X389" s="74"/>
      <c r="AB389" s="75"/>
      <c r="AJ389" s="81"/>
      <c r="AR389" s="81"/>
      <c r="AZ389" s="81"/>
      <c r="BG389" s="81"/>
      <c r="BN389" s="81"/>
      <c r="BV389" s="81"/>
      <c r="CC389" s="98"/>
      <c r="CD389" s="118" t="s">
        <v>709</v>
      </c>
      <c r="CE389" s="99" t="s">
        <v>702</v>
      </c>
      <c r="CF389" s="103">
        <f>0.003*44/28</f>
        <v>4.7142857142857143E-3</v>
      </c>
      <c r="CG389" s="99" t="s">
        <v>703</v>
      </c>
      <c r="CH389" s="105">
        <v>0.01</v>
      </c>
      <c r="CI389" s="105">
        <v>2</v>
      </c>
      <c r="CJ389" s="104" t="s">
        <v>437</v>
      </c>
      <c r="CK389" s="173"/>
      <c r="CL389" s="103">
        <v>3.3525</v>
      </c>
      <c r="CM389" s="99" t="s">
        <v>710</v>
      </c>
      <c r="CN389" s="173"/>
      <c r="CO389" s="173"/>
      <c r="CP389" s="173"/>
      <c r="CQ389" s="46"/>
      <c r="CR389" s="173"/>
      <c r="CS389" s="173"/>
      <c r="CT389" s="46"/>
      <c r="CU389" s="46"/>
      <c r="CV389" s="46"/>
      <c r="CW389" s="48"/>
      <c r="CX389" s="46"/>
      <c r="CY389" s="46"/>
      <c r="CZ389" s="48"/>
      <c r="DA389" s="48"/>
      <c r="DB389" s="48"/>
      <c r="DC389" s="48"/>
      <c r="DD389" s="46"/>
      <c r="DE389" s="46"/>
      <c r="DF389" s="48"/>
      <c r="DG389" s="48"/>
      <c r="DH389" s="48"/>
      <c r="DI389" s="49"/>
      <c r="DJ389" s="50"/>
      <c r="DK389" s="50">
        <f t="shared" si="594"/>
        <v>2</v>
      </c>
      <c r="DX389" s="49"/>
      <c r="DY389" s="49"/>
      <c r="DZ389" s="49"/>
      <c r="EA389" s="49"/>
    </row>
    <row r="390" spans="24:135" s="37" customFormat="1" ht="14.65" hidden="1" thickBot="1">
      <c r="X390" s="74"/>
      <c r="AB390" s="75"/>
      <c r="AJ390" s="81"/>
      <c r="AR390" s="81"/>
      <c r="AZ390" s="81"/>
      <c r="BG390" s="81"/>
      <c r="BN390" s="81"/>
      <c r="BV390" s="81"/>
      <c r="CC390" s="98"/>
      <c r="CD390" s="118" t="s">
        <v>711</v>
      </c>
      <c r="CE390" s="99" t="s">
        <v>712</v>
      </c>
      <c r="CF390" s="103">
        <f>0.12*(44/12)</f>
        <v>0.43999999999999995</v>
      </c>
      <c r="CG390" s="99" t="s">
        <v>713</v>
      </c>
      <c r="CH390" s="105">
        <v>0.01</v>
      </c>
      <c r="CI390" s="105">
        <v>0.5</v>
      </c>
      <c r="CJ390" s="104" t="s">
        <v>385</v>
      </c>
      <c r="CK390" s="173"/>
      <c r="CL390" s="173"/>
      <c r="CM390" s="173"/>
      <c r="CN390" s="173"/>
      <c r="CO390" s="173"/>
      <c r="CP390" s="173"/>
      <c r="CQ390" s="46"/>
      <c r="CR390" s="173"/>
      <c r="CS390" s="173"/>
      <c r="CT390" s="46"/>
      <c r="CU390" s="46"/>
      <c r="CV390" s="46"/>
      <c r="CW390" s="48"/>
      <c r="CX390" s="46"/>
      <c r="CY390" s="46"/>
      <c r="CZ390" s="48"/>
      <c r="DA390" s="48"/>
      <c r="DB390" s="48"/>
      <c r="DC390" s="48"/>
      <c r="DD390" s="46"/>
      <c r="DE390" s="46"/>
      <c r="DF390" s="48"/>
      <c r="DG390" s="48"/>
      <c r="DH390" s="48"/>
      <c r="DI390" s="49"/>
      <c r="DJ390" s="50"/>
      <c r="DK390" s="50">
        <f t="shared" si="594"/>
        <v>0.5</v>
      </c>
      <c r="DX390" s="49"/>
      <c r="DY390" s="49"/>
      <c r="DZ390" s="49"/>
      <c r="EA390" s="49"/>
    </row>
    <row r="391" spans="24:135" s="37" customFormat="1" ht="14.65" hidden="1" thickBot="1">
      <c r="X391" s="74"/>
      <c r="AB391" s="75"/>
      <c r="AJ391" s="81"/>
      <c r="AR391" s="81"/>
      <c r="AZ391" s="81"/>
      <c r="BG391" s="81"/>
      <c r="BN391" s="81"/>
      <c r="BV391" s="81"/>
      <c r="CC391" s="98"/>
      <c r="CD391" s="118" t="s">
        <v>714</v>
      </c>
      <c r="CE391" s="99" t="s">
        <v>712</v>
      </c>
      <c r="CF391" s="103">
        <f>0.13*(44/12)</f>
        <v>0.47666666666666668</v>
      </c>
      <c r="CG391" s="99" t="s">
        <v>713</v>
      </c>
      <c r="CH391" s="105">
        <v>0.01</v>
      </c>
      <c r="CI391" s="105">
        <v>0.5</v>
      </c>
      <c r="CJ391" s="104" t="s">
        <v>385</v>
      </c>
      <c r="CK391" s="173"/>
      <c r="CL391" s="173"/>
      <c r="CM391" s="173"/>
      <c r="CN391" s="173"/>
      <c r="CO391" s="173"/>
      <c r="CP391" s="173"/>
      <c r="CQ391" s="46"/>
      <c r="CR391" s="173"/>
      <c r="CS391" s="173"/>
      <c r="CT391" s="46"/>
      <c r="CU391" s="46"/>
      <c r="CV391" s="46"/>
      <c r="CW391" s="48"/>
      <c r="CX391" s="46"/>
      <c r="CY391" s="46"/>
      <c r="CZ391" s="48"/>
      <c r="DA391" s="48"/>
      <c r="DB391" s="48"/>
      <c r="DC391" s="48"/>
      <c r="DD391" s="46"/>
      <c r="DE391" s="46"/>
      <c r="DF391" s="48"/>
      <c r="DG391" s="48"/>
      <c r="DH391" s="48"/>
      <c r="DI391" s="49"/>
      <c r="DJ391" s="50"/>
      <c r="DK391" s="50">
        <f t="shared" si="594"/>
        <v>0.5</v>
      </c>
      <c r="DX391" s="49"/>
      <c r="DY391" s="49"/>
      <c r="DZ391" s="49"/>
      <c r="EA391" s="49"/>
    </row>
    <row r="392" spans="24:135" s="37" customFormat="1" ht="14.65" hidden="1" thickBot="1">
      <c r="X392" s="74"/>
      <c r="AB392" s="75"/>
      <c r="AJ392" s="81"/>
      <c r="AR392" s="81"/>
      <c r="AZ392" s="81"/>
      <c r="BG392" s="81"/>
      <c r="BN392" s="81"/>
      <c r="BV392" s="81"/>
      <c r="CC392" s="98"/>
      <c r="CD392" s="118" t="s">
        <v>715</v>
      </c>
      <c r="CE392" s="99" t="s">
        <v>716</v>
      </c>
      <c r="CF392" s="103">
        <f>0.2*(44/12)</f>
        <v>0.73333333333333339</v>
      </c>
      <c r="CG392" s="99" t="s">
        <v>717</v>
      </c>
      <c r="CH392" s="105">
        <v>0.01</v>
      </c>
      <c r="CI392" s="105">
        <v>0.5</v>
      </c>
      <c r="CJ392" s="104" t="s">
        <v>385</v>
      </c>
      <c r="CK392" s="173"/>
      <c r="CL392" s="103"/>
      <c r="CM392" s="99"/>
      <c r="CN392" s="173"/>
      <c r="CO392" s="173"/>
      <c r="CP392" s="173"/>
      <c r="CQ392" s="46"/>
      <c r="CR392" s="173"/>
      <c r="CS392" s="173"/>
      <c r="CT392" s="46"/>
      <c r="CU392" s="46"/>
      <c r="CV392" s="46"/>
      <c r="CW392" s="48"/>
      <c r="CX392" s="46"/>
      <c r="CY392" s="46"/>
      <c r="CZ392" s="48"/>
      <c r="DA392" s="48"/>
      <c r="DB392" s="48"/>
      <c r="DC392" s="48"/>
      <c r="DD392" s="46"/>
      <c r="DE392" s="46"/>
      <c r="DF392" s="48"/>
      <c r="DG392" s="48"/>
      <c r="DH392" s="48"/>
      <c r="DI392" s="49"/>
      <c r="DJ392" s="50">
        <v>0.5</v>
      </c>
      <c r="DK392" s="50">
        <f t="shared" si="594"/>
        <v>0.5</v>
      </c>
      <c r="DX392" s="49"/>
      <c r="DY392" s="49"/>
      <c r="DZ392" s="49"/>
      <c r="EA392" s="49"/>
    </row>
    <row r="393" spans="24:135" s="37" customFormat="1" hidden="1">
      <c r="X393" s="74"/>
      <c r="AB393" s="75"/>
      <c r="AJ393" s="81"/>
      <c r="AR393" s="81"/>
      <c r="AZ393" s="81"/>
      <c r="BG393" s="81"/>
      <c r="BN393" s="81"/>
      <c r="BV393" s="81"/>
      <c r="CC393" s="98"/>
      <c r="CD393" s="36"/>
      <c r="CE393" s="46"/>
      <c r="CF393" s="46"/>
      <c r="CG393" s="46"/>
      <c r="CH393" s="47"/>
      <c r="CI393" s="47"/>
      <c r="CJ393" s="47"/>
      <c r="CK393" s="173"/>
      <c r="CL393" s="173"/>
      <c r="CM393" s="173"/>
      <c r="CN393" s="173"/>
      <c r="CO393" s="173"/>
      <c r="CP393" s="173"/>
      <c r="CQ393" s="46"/>
      <c r="CR393" s="173"/>
      <c r="CS393" s="173"/>
      <c r="CT393" s="46"/>
      <c r="CU393" s="46"/>
      <c r="CV393" s="46"/>
      <c r="CW393" s="48"/>
      <c r="CX393" s="46"/>
      <c r="CY393" s="46"/>
      <c r="CZ393" s="48"/>
      <c r="DA393" s="48"/>
      <c r="DB393" s="48"/>
      <c r="DC393" s="48"/>
      <c r="DD393" s="46"/>
      <c r="DE393" s="46"/>
      <c r="DF393" s="48"/>
      <c r="DG393" s="48"/>
      <c r="DH393" s="48"/>
      <c r="DI393" s="49"/>
      <c r="DJ393" s="50"/>
      <c r="DK393" s="50">
        <f t="shared" si="594"/>
        <v>0</v>
      </c>
      <c r="DT393" s="37" t="s">
        <v>718</v>
      </c>
      <c r="DU393" s="37" t="s">
        <v>719</v>
      </c>
      <c r="DW393" s="37" t="s">
        <v>672</v>
      </c>
      <c r="DX393" s="49" t="s">
        <v>720</v>
      </c>
      <c r="DY393" s="49"/>
      <c r="DZ393" s="49"/>
      <c r="EA393" s="49"/>
      <c r="EC393" s="37" t="s">
        <v>721</v>
      </c>
      <c r="ED393" s="184" t="s">
        <v>722</v>
      </c>
      <c r="EE393" s="113" t="s">
        <v>675</v>
      </c>
    </row>
    <row r="394" spans="24:135" s="37" customFormat="1" hidden="1">
      <c r="X394" s="74"/>
      <c r="AB394" s="75"/>
      <c r="AJ394" s="81"/>
      <c r="AR394" s="81"/>
      <c r="AZ394" s="81"/>
      <c r="BG394" s="81"/>
      <c r="BN394" s="81"/>
      <c r="BV394" s="81"/>
      <c r="CC394" s="98"/>
      <c r="CD394" s="36"/>
      <c r="CE394" s="46"/>
      <c r="CF394" s="46"/>
      <c r="CG394" s="46"/>
      <c r="CH394" s="47"/>
      <c r="CI394" s="47"/>
      <c r="CJ394" s="47"/>
      <c r="CK394" s="173"/>
      <c r="CL394" s="173"/>
      <c r="CM394" s="173"/>
      <c r="CN394" s="173"/>
      <c r="CO394" s="173"/>
      <c r="CP394" s="173"/>
      <c r="CQ394" s="46"/>
      <c r="CR394" s="173"/>
      <c r="CS394" s="173"/>
      <c r="CT394" s="46"/>
      <c r="CU394" s="46"/>
      <c r="CV394" s="46"/>
      <c r="CW394" s="48"/>
      <c r="CX394" s="46"/>
      <c r="CY394" s="46"/>
      <c r="CZ394" s="48"/>
      <c r="DA394" s="48"/>
      <c r="DB394" s="48"/>
      <c r="DC394" s="48"/>
      <c r="DD394" s="46"/>
      <c r="DE394" s="46"/>
      <c r="DF394" s="48"/>
      <c r="DG394" s="48"/>
      <c r="DH394" s="48"/>
      <c r="DI394" s="49"/>
      <c r="DJ394" s="50"/>
      <c r="DK394" s="50">
        <f t="shared" ref="DK394:DK398" si="624">CI394</f>
        <v>0</v>
      </c>
      <c r="DS394" s="37" t="s">
        <v>723</v>
      </c>
      <c r="DU394" s="37">
        <f>+EE394</f>
        <v>3.4875000000000003</v>
      </c>
      <c r="DW394" s="37">
        <v>1</v>
      </c>
      <c r="DX394" s="49">
        <v>0.9</v>
      </c>
      <c r="DY394" s="49"/>
      <c r="DZ394" s="49"/>
      <c r="EA394" s="49"/>
      <c r="EC394" s="37">
        <v>1.2500000000000001E-2</v>
      </c>
      <c r="ED394" s="37">
        <v>310</v>
      </c>
      <c r="EE394" s="37">
        <f>+DX394*EC394*ED394</f>
        <v>3.4875000000000003</v>
      </c>
    </row>
    <row r="395" spans="24:135" s="37" customFormat="1" hidden="1">
      <c r="X395" s="74"/>
      <c r="AB395" s="75"/>
      <c r="AJ395" s="81"/>
      <c r="AR395" s="81"/>
      <c r="AZ395" s="81"/>
      <c r="BG395" s="81"/>
      <c r="BN395" s="81"/>
      <c r="BV395" s="81"/>
      <c r="CC395" s="98"/>
      <c r="CD395" s="36"/>
      <c r="CE395" s="46"/>
      <c r="CF395" s="46"/>
      <c r="CG395" s="46"/>
      <c r="CH395" s="47"/>
      <c r="CI395" s="47"/>
      <c r="CJ395" s="47"/>
      <c r="CK395" s="173"/>
      <c r="CL395" s="173"/>
      <c r="CM395" s="173"/>
      <c r="CN395" s="173"/>
      <c r="CO395" s="173"/>
      <c r="CP395" s="173"/>
      <c r="CQ395" s="46"/>
      <c r="CR395" s="173"/>
      <c r="CS395" s="173"/>
      <c r="CT395" s="46"/>
      <c r="CU395" s="46"/>
      <c r="CV395" s="46"/>
      <c r="CW395" s="48"/>
      <c r="CX395" s="46"/>
      <c r="CY395" s="46"/>
      <c r="CZ395" s="48"/>
      <c r="DA395" s="48"/>
      <c r="DB395" s="48"/>
      <c r="DC395" s="48"/>
      <c r="DD395" s="46"/>
      <c r="DE395" s="46"/>
      <c r="DF395" s="48"/>
      <c r="DG395" s="48"/>
      <c r="DH395" s="48"/>
      <c r="DI395" s="49"/>
      <c r="DJ395" s="50"/>
      <c r="DK395" s="50">
        <f t="shared" si="624"/>
        <v>0</v>
      </c>
      <c r="DX395" s="49"/>
      <c r="DY395" s="49"/>
      <c r="DZ395" s="49"/>
      <c r="EA395" s="49"/>
      <c r="ED395" s="37">
        <v>298</v>
      </c>
      <c r="EE395" s="37">
        <f>+DX394*EC394*ED395</f>
        <v>3.3525000000000005</v>
      </c>
    </row>
    <row r="396" spans="24:135" s="37" customFormat="1" ht="14.65" hidden="1" thickBot="1">
      <c r="X396" s="74"/>
      <c r="AB396" s="75"/>
      <c r="AJ396" s="81"/>
      <c r="AR396" s="81"/>
      <c r="AZ396" s="81"/>
      <c r="BG396" s="81"/>
      <c r="BN396" s="81"/>
      <c r="BV396" s="81"/>
      <c r="CC396" s="98"/>
      <c r="CD396" s="36"/>
      <c r="CE396" s="46"/>
      <c r="CF396" s="46"/>
      <c r="CG396" s="46"/>
      <c r="CH396" s="47"/>
      <c r="CI396" s="47"/>
      <c r="CJ396" s="47"/>
      <c r="CK396" s="173"/>
      <c r="CL396" s="173"/>
      <c r="CM396" s="173"/>
      <c r="CN396" s="173"/>
      <c r="CO396" s="173"/>
      <c r="CP396" s="173"/>
      <c r="CQ396" s="46"/>
      <c r="CR396" s="173"/>
      <c r="CS396" s="173"/>
      <c r="CT396" s="46"/>
      <c r="CU396" s="46"/>
      <c r="CV396" s="46"/>
      <c r="CW396" s="48"/>
      <c r="CX396" s="46"/>
      <c r="CY396" s="46"/>
      <c r="CZ396" s="48"/>
      <c r="DA396" s="48"/>
      <c r="DB396" s="48"/>
      <c r="DC396" s="48"/>
      <c r="DD396" s="46"/>
      <c r="DE396" s="46"/>
      <c r="DF396" s="48"/>
      <c r="DG396" s="48"/>
      <c r="DH396" s="48"/>
      <c r="DI396" s="49"/>
      <c r="DJ396" s="50"/>
      <c r="DK396" s="50">
        <f t="shared" si="624"/>
        <v>0</v>
      </c>
      <c r="DX396" s="49"/>
      <c r="DY396" s="49"/>
      <c r="DZ396" s="49"/>
      <c r="EA396" s="49"/>
    </row>
    <row r="397" spans="24:135" s="37" customFormat="1" hidden="1">
      <c r="X397" s="74"/>
      <c r="AB397" s="75"/>
      <c r="AJ397" s="81"/>
      <c r="AR397" s="81"/>
      <c r="AZ397" s="81"/>
      <c r="BG397" s="81"/>
      <c r="BN397" s="81"/>
      <c r="BV397" s="81"/>
      <c r="CC397" s="98"/>
      <c r="CD397" s="549" t="s">
        <v>724</v>
      </c>
      <c r="CE397" s="549" t="s">
        <v>290</v>
      </c>
      <c r="CF397" s="549" t="s">
        <v>349</v>
      </c>
      <c r="CG397" s="92"/>
      <c r="CH397" s="549" t="s">
        <v>283</v>
      </c>
      <c r="CI397" s="549" t="s">
        <v>283</v>
      </c>
      <c r="CJ397" s="549" t="s">
        <v>284</v>
      </c>
      <c r="CK397" s="173"/>
      <c r="CL397" s="173"/>
      <c r="CM397" s="173"/>
      <c r="CN397" s="173"/>
      <c r="CO397" s="173"/>
      <c r="CP397" s="173"/>
      <c r="CQ397" s="46"/>
      <c r="CR397" s="173"/>
      <c r="CS397" s="173"/>
      <c r="CT397" s="46"/>
      <c r="CU397" s="46"/>
      <c r="CV397" s="46"/>
      <c r="CW397" s="48"/>
      <c r="CX397" s="46"/>
      <c r="CY397" s="46"/>
      <c r="CZ397" s="48"/>
      <c r="DA397" s="48"/>
      <c r="DB397" s="48"/>
      <c r="DC397" s="48"/>
      <c r="DD397" s="46"/>
      <c r="DE397" s="46"/>
      <c r="DF397" s="48"/>
      <c r="DG397" s="48"/>
      <c r="DH397" s="48"/>
      <c r="DI397" s="49"/>
      <c r="DJ397" s="50"/>
      <c r="DK397" s="50" t="str">
        <f t="shared" si="624"/>
        <v>Incertidumbre (+/- %)</v>
      </c>
      <c r="DX397" s="49"/>
      <c r="DY397" s="49"/>
      <c r="DZ397" s="49"/>
      <c r="EA397" s="49"/>
    </row>
    <row r="398" spans="24:135" s="37" customFormat="1" ht="14.65" hidden="1" thickBot="1">
      <c r="X398" s="74"/>
      <c r="AB398" s="75"/>
      <c r="AJ398" s="81"/>
      <c r="AR398" s="81"/>
      <c r="AZ398" s="81"/>
      <c r="BG398" s="81"/>
      <c r="BN398" s="81"/>
      <c r="BV398" s="81"/>
      <c r="CC398" s="98"/>
      <c r="CD398" s="550"/>
      <c r="CE398" s="550"/>
      <c r="CF398" s="550"/>
      <c r="CG398" s="94" t="s">
        <v>291</v>
      </c>
      <c r="CH398" s="550"/>
      <c r="CI398" s="550"/>
      <c r="CJ398" s="550"/>
      <c r="CK398" s="173"/>
      <c r="CL398" s="173"/>
      <c r="CM398" s="173"/>
      <c r="CN398" s="173"/>
      <c r="CO398" s="173"/>
      <c r="CP398" s="173"/>
      <c r="CQ398" s="46"/>
      <c r="CR398" s="173"/>
      <c r="CS398" s="173"/>
      <c r="CT398" s="46"/>
      <c r="CU398" s="46"/>
      <c r="CV398" s="46"/>
      <c r="CW398" s="48"/>
      <c r="CX398" s="46"/>
      <c r="CY398" s="46"/>
      <c r="CZ398" s="48"/>
      <c r="DA398" s="48"/>
      <c r="DB398" s="48"/>
      <c r="DC398" s="48"/>
      <c r="DD398" s="46"/>
      <c r="DE398" s="46"/>
      <c r="DF398" s="48"/>
      <c r="DG398" s="48"/>
      <c r="DH398" s="48"/>
      <c r="DI398" s="49"/>
      <c r="DJ398" s="50"/>
      <c r="DK398" s="50">
        <f t="shared" si="624"/>
        <v>0</v>
      </c>
      <c r="DX398" s="49"/>
      <c r="DY398" s="49"/>
      <c r="DZ398" s="49"/>
      <c r="EA398" s="49"/>
    </row>
    <row r="399" spans="24:135" s="37" customFormat="1" ht="14.65" hidden="1" thickBot="1">
      <c r="X399" s="74"/>
      <c r="AB399" s="75"/>
      <c r="AJ399" s="81"/>
      <c r="AR399" s="81"/>
      <c r="AZ399" s="81"/>
      <c r="BG399" s="81"/>
      <c r="BN399" s="81"/>
      <c r="BV399" s="81"/>
      <c r="CC399" s="98"/>
      <c r="CD399" s="118" t="s">
        <v>725</v>
      </c>
      <c r="CE399" s="99" t="s">
        <v>726</v>
      </c>
      <c r="CF399" s="178">
        <v>0.12790000000000001</v>
      </c>
      <c r="CG399" s="99" t="s">
        <v>727</v>
      </c>
      <c r="CH399" s="105">
        <v>0.05</v>
      </c>
      <c r="CI399" s="105">
        <v>0.1</v>
      </c>
      <c r="CJ399" s="104" t="s">
        <v>728</v>
      </c>
      <c r="CK399" s="173"/>
      <c r="CL399" s="173"/>
      <c r="CM399" s="173"/>
      <c r="CN399" s="173"/>
      <c r="CO399" s="173"/>
      <c r="CP399" s="173"/>
      <c r="CQ399" s="46"/>
      <c r="CR399" s="173"/>
      <c r="CS399" s="173"/>
      <c r="CT399" s="46"/>
      <c r="CU399" s="46"/>
      <c r="CV399" s="46"/>
      <c r="CW399" s="48"/>
      <c r="CX399" s="46"/>
      <c r="CY399" s="46"/>
      <c r="CZ399" s="48"/>
      <c r="DA399" s="48"/>
      <c r="DB399" s="48"/>
      <c r="DC399" s="48"/>
      <c r="DD399" s="46"/>
      <c r="DE399" s="46"/>
      <c r="DF399" s="48"/>
      <c r="DG399" s="48"/>
      <c r="DH399" s="48"/>
      <c r="DI399" s="49"/>
      <c r="DJ399" s="50"/>
      <c r="DK399" s="50"/>
      <c r="DX399" s="49"/>
      <c r="DY399" s="49"/>
      <c r="DZ399" s="49"/>
      <c r="EA399" s="49"/>
    </row>
    <row r="400" spans="24:135" s="37" customFormat="1" ht="14.65" hidden="1" thickBot="1">
      <c r="X400" s="74"/>
      <c r="AB400" s="75"/>
      <c r="AJ400" s="81"/>
      <c r="AR400" s="81"/>
      <c r="AZ400" s="81"/>
      <c r="BG400" s="81"/>
      <c r="BN400" s="81"/>
      <c r="BV400" s="81"/>
      <c r="CC400" s="98"/>
      <c r="CD400" s="118" t="s">
        <v>729</v>
      </c>
      <c r="CE400" s="99" t="s">
        <v>726</v>
      </c>
      <c r="CF400" s="178">
        <v>0.15010000000000001</v>
      </c>
      <c r="CG400" s="99" t="s">
        <v>727</v>
      </c>
      <c r="CH400" s="105">
        <v>0.05</v>
      </c>
      <c r="CI400" s="105">
        <v>0.1</v>
      </c>
      <c r="CJ400" s="104" t="s">
        <v>728</v>
      </c>
      <c r="CK400" s="173"/>
      <c r="CL400" s="173"/>
      <c r="CM400" s="173"/>
      <c r="CN400" s="173"/>
      <c r="CO400" s="173"/>
      <c r="CP400" s="173"/>
      <c r="CQ400" s="46"/>
      <c r="CR400" s="173"/>
      <c r="CS400" s="173"/>
      <c r="CT400" s="46"/>
      <c r="CU400" s="46"/>
      <c r="CV400" s="46"/>
      <c r="CW400" s="48"/>
      <c r="CX400" s="46"/>
      <c r="CY400" s="46"/>
      <c r="CZ400" s="48"/>
      <c r="DA400" s="48"/>
      <c r="DB400" s="48"/>
      <c r="DC400" s="48"/>
      <c r="DD400" s="46"/>
      <c r="DE400" s="46"/>
      <c r="DF400" s="48"/>
      <c r="DG400" s="48"/>
      <c r="DH400" s="48"/>
      <c r="DI400" s="49"/>
      <c r="DJ400" s="50"/>
      <c r="DK400" s="50"/>
      <c r="DX400" s="49"/>
      <c r="DY400" s="49"/>
      <c r="DZ400" s="49"/>
      <c r="EA400" s="49"/>
    </row>
    <row r="401" spans="24:137" s="37" customFormat="1" ht="14.65" hidden="1" thickBot="1">
      <c r="X401" s="74"/>
      <c r="AB401" s="75"/>
      <c r="AJ401" s="81"/>
      <c r="AR401" s="81"/>
      <c r="AZ401" s="81"/>
      <c r="BG401" s="81"/>
      <c r="BN401" s="81"/>
      <c r="BV401" s="81"/>
      <c r="CC401" s="98"/>
      <c r="CD401" s="118" t="s">
        <v>730</v>
      </c>
      <c r="CE401" s="99" t="s">
        <v>726</v>
      </c>
      <c r="CF401" s="178">
        <v>0.1971</v>
      </c>
      <c r="CG401" s="99" t="s">
        <v>727</v>
      </c>
      <c r="CH401" s="105">
        <v>0.05</v>
      </c>
      <c r="CI401" s="105">
        <v>0.1</v>
      </c>
      <c r="CJ401" s="104" t="s">
        <v>728</v>
      </c>
      <c r="CK401" s="173"/>
      <c r="CL401" s="173"/>
      <c r="CM401" s="173"/>
      <c r="CN401" s="173"/>
      <c r="CO401" s="173"/>
      <c r="CP401" s="173"/>
      <c r="CQ401" s="46"/>
      <c r="CR401" s="173"/>
      <c r="CS401" s="173"/>
      <c r="CT401" s="46"/>
      <c r="CU401" s="46"/>
      <c r="CV401" s="46"/>
      <c r="CW401" s="48"/>
      <c r="CX401" s="46"/>
      <c r="CY401" s="46"/>
      <c r="CZ401" s="48"/>
      <c r="DA401" s="48"/>
      <c r="DB401" s="48"/>
      <c r="DC401" s="48"/>
      <c r="DD401" s="46"/>
      <c r="DE401" s="46"/>
      <c r="DF401" s="48"/>
      <c r="DG401" s="48"/>
      <c r="DH401" s="48"/>
      <c r="DI401" s="49"/>
      <c r="DJ401" s="50">
        <v>0.05</v>
      </c>
      <c r="DK401" s="50">
        <v>0.05</v>
      </c>
      <c r="DR401" s="113"/>
      <c r="DS401" s="183"/>
      <c r="DT401" s="183"/>
      <c r="DU401" s="113"/>
      <c r="DV401" s="113"/>
      <c r="DW401" s="113"/>
      <c r="DX401" s="183"/>
      <c r="DY401" s="183"/>
      <c r="DZ401" s="183"/>
      <c r="EA401" s="183"/>
      <c r="EB401" s="183"/>
      <c r="EC401" s="113"/>
      <c r="EE401" s="177"/>
      <c r="EF401" s="177"/>
      <c r="EG401" s="49"/>
    </row>
    <row r="402" spans="24:137" s="37" customFormat="1" ht="14.65" hidden="1" thickBot="1">
      <c r="X402" s="74"/>
      <c r="AB402" s="75"/>
      <c r="AJ402" s="81"/>
      <c r="AR402" s="81"/>
      <c r="AZ402" s="81"/>
      <c r="BG402" s="81"/>
      <c r="BN402" s="81"/>
      <c r="BV402" s="81"/>
      <c r="CC402" s="98"/>
      <c r="CD402" s="118" t="s">
        <v>731</v>
      </c>
      <c r="CE402" s="99" t="s">
        <v>726</v>
      </c>
      <c r="CF402" s="178">
        <v>0.1079</v>
      </c>
      <c r="CG402" s="99" t="s">
        <v>727</v>
      </c>
      <c r="CH402" s="105">
        <v>0.05</v>
      </c>
      <c r="CI402" s="105">
        <v>0.1</v>
      </c>
      <c r="CJ402" s="104" t="s">
        <v>728</v>
      </c>
      <c r="CK402" s="173"/>
      <c r="CL402" s="173"/>
      <c r="CM402" s="173"/>
      <c r="CN402" s="173"/>
      <c r="CO402" s="173"/>
      <c r="CP402" s="173"/>
      <c r="CQ402" s="46"/>
      <c r="CR402" s="173"/>
      <c r="CS402" s="173"/>
      <c r="CT402" s="46"/>
      <c r="CU402" s="46"/>
      <c r="CV402" s="46"/>
      <c r="CW402" s="48"/>
      <c r="CX402" s="46"/>
      <c r="CY402" s="46"/>
      <c r="CZ402" s="48"/>
      <c r="DA402" s="48"/>
      <c r="DB402" s="48"/>
      <c r="DC402" s="48"/>
      <c r="DD402" s="46"/>
      <c r="DE402" s="46"/>
      <c r="DF402" s="48"/>
      <c r="DG402" s="48"/>
      <c r="DH402" s="48"/>
      <c r="DI402" s="49"/>
      <c r="DJ402" s="50"/>
      <c r="DK402" s="50">
        <v>0.05</v>
      </c>
      <c r="DR402" s="113"/>
      <c r="DS402" s="183"/>
      <c r="DT402" s="183"/>
      <c r="DU402" s="113"/>
      <c r="DV402" s="113"/>
      <c r="DW402" s="113"/>
      <c r="DX402" s="183"/>
      <c r="DY402" s="183"/>
      <c r="DZ402" s="183"/>
      <c r="EA402" s="183"/>
      <c r="EB402" s="183"/>
      <c r="EC402" s="113"/>
      <c r="EE402" s="177"/>
      <c r="EF402" s="177"/>
      <c r="EG402" s="49"/>
    </row>
    <row r="403" spans="24:137" s="37" customFormat="1" ht="14.65" hidden="1" thickBot="1">
      <c r="X403" s="74"/>
      <c r="AB403" s="75"/>
      <c r="AJ403" s="81"/>
      <c r="AR403" s="81"/>
      <c r="AZ403" s="81"/>
      <c r="BG403" s="81"/>
      <c r="BN403" s="81"/>
      <c r="BV403" s="81"/>
      <c r="CC403" s="98"/>
      <c r="CD403" s="118" t="s">
        <v>732</v>
      </c>
      <c r="CE403" s="99" t="s">
        <v>726</v>
      </c>
      <c r="CF403" s="178">
        <v>0.10299999999999999</v>
      </c>
      <c r="CG403" s="99" t="s">
        <v>727</v>
      </c>
      <c r="CH403" s="105">
        <v>0.05</v>
      </c>
      <c r="CI403" s="105">
        <v>0.1</v>
      </c>
      <c r="CJ403" s="104" t="s">
        <v>728</v>
      </c>
      <c r="CK403" s="173"/>
      <c r="CL403" s="173"/>
      <c r="CM403" s="173"/>
      <c r="CN403" s="173"/>
      <c r="CO403" s="173"/>
      <c r="CP403" s="173"/>
      <c r="CQ403" s="46"/>
      <c r="CR403" s="173"/>
      <c r="CS403" s="173"/>
      <c r="CT403" s="46"/>
      <c r="CU403" s="46"/>
      <c r="CV403" s="46"/>
      <c r="CW403" s="48"/>
      <c r="CX403" s="46"/>
      <c r="CY403" s="46"/>
      <c r="CZ403" s="48"/>
      <c r="DA403" s="48"/>
      <c r="DB403" s="48"/>
      <c r="DC403" s="48"/>
      <c r="DD403" s="46"/>
      <c r="DE403" s="46"/>
      <c r="DF403" s="48"/>
      <c r="DG403" s="48"/>
      <c r="DH403" s="48"/>
      <c r="DI403" s="49"/>
      <c r="DJ403" s="50"/>
      <c r="DK403" s="50">
        <v>0.05</v>
      </c>
      <c r="DR403" s="113"/>
      <c r="DS403" s="183"/>
      <c r="DT403" s="183"/>
      <c r="DU403" s="113"/>
      <c r="DV403" s="113"/>
      <c r="DW403" s="113"/>
      <c r="DX403" s="183"/>
      <c r="DY403" s="183"/>
      <c r="DZ403" s="183"/>
      <c r="EA403" s="183"/>
      <c r="EB403" s="183"/>
      <c r="EC403" s="113"/>
      <c r="EE403" s="177"/>
      <c r="EF403" s="177"/>
      <c r="EG403" s="49"/>
    </row>
    <row r="404" spans="24:137" s="37" customFormat="1" hidden="1">
      <c r="X404" s="74"/>
      <c r="AB404" s="75"/>
      <c r="AJ404" s="81"/>
      <c r="AR404" s="81"/>
      <c r="AZ404" s="81"/>
      <c r="BG404" s="81"/>
      <c r="BN404" s="81"/>
      <c r="BV404" s="81"/>
      <c r="CC404" s="98"/>
      <c r="CG404" s="46"/>
      <c r="CH404" s="46"/>
      <c r="CI404" s="46"/>
      <c r="CJ404" s="46"/>
      <c r="CK404" s="173"/>
      <c r="CL404" s="173"/>
      <c r="CM404" s="173"/>
      <c r="CN404" s="173"/>
      <c r="CO404" s="173"/>
      <c r="CP404" s="173"/>
      <c r="CQ404" s="46"/>
      <c r="CR404" s="173"/>
      <c r="CS404" s="173"/>
      <c r="CT404" s="46"/>
      <c r="CU404" s="46"/>
      <c r="CV404" s="46"/>
      <c r="CW404" s="48"/>
      <c r="CX404" s="46"/>
      <c r="CY404" s="46"/>
      <c r="CZ404" s="48"/>
      <c r="DA404" s="48"/>
      <c r="DB404" s="48"/>
      <c r="DC404" s="48"/>
      <c r="DD404" s="46"/>
      <c r="DE404" s="46"/>
      <c r="DF404" s="48"/>
      <c r="DG404" s="48"/>
      <c r="DH404" s="48"/>
      <c r="DI404" s="49"/>
      <c r="DJ404" s="50">
        <v>0.05</v>
      </c>
      <c r="DK404" s="50">
        <v>0.05</v>
      </c>
      <c r="DR404" s="113"/>
      <c r="DS404" s="183"/>
      <c r="DT404" s="183"/>
      <c r="DU404" s="113"/>
      <c r="DV404" s="113"/>
      <c r="DW404" s="113"/>
      <c r="DX404" s="183"/>
      <c r="DY404" s="183"/>
      <c r="DZ404" s="183"/>
      <c r="EA404" s="183"/>
      <c r="EB404" s="183"/>
      <c r="EC404" s="113"/>
      <c r="EE404" s="177"/>
      <c r="EF404" s="177"/>
      <c r="EG404" s="49"/>
    </row>
    <row r="405" spans="24:137" s="37" customFormat="1" hidden="1">
      <c r="X405" s="74"/>
      <c r="AB405" s="75"/>
      <c r="AJ405" s="81"/>
      <c r="AR405" s="81"/>
      <c r="AZ405" s="81"/>
      <c r="BG405" s="81"/>
      <c r="BN405" s="81"/>
      <c r="BV405" s="81"/>
      <c r="CC405" s="98"/>
      <c r="CD405" s="36"/>
      <c r="CE405" s="46"/>
      <c r="CF405" s="46"/>
      <c r="CG405" s="46"/>
      <c r="CH405" s="47"/>
      <c r="CI405" s="47"/>
      <c r="CJ405" s="47"/>
      <c r="CK405" s="173"/>
      <c r="CL405" s="173"/>
      <c r="CM405" s="173"/>
      <c r="CN405" s="173"/>
      <c r="CO405" s="173"/>
      <c r="CP405" s="173"/>
      <c r="CQ405" s="46"/>
      <c r="CR405" s="173"/>
      <c r="CS405" s="173"/>
      <c r="CT405" s="46"/>
      <c r="CU405" s="46"/>
      <c r="CV405" s="46"/>
      <c r="CW405" s="48"/>
      <c r="CX405" s="46"/>
      <c r="CY405" s="46"/>
      <c r="CZ405" s="48"/>
      <c r="DA405" s="48"/>
      <c r="DB405" s="48"/>
      <c r="DC405" s="48"/>
      <c r="DD405" s="46"/>
      <c r="DE405" s="46"/>
      <c r="DF405" s="48"/>
      <c r="DG405" s="48"/>
      <c r="DH405" s="48"/>
      <c r="DI405" s="49"/>
      <c r="DJ405" s="50"/>
      <c r="DK405" s="50">
        <v>0.05</v>
      </c>
      <c r="DR405" s="113"/>
      <c r="DS405" s="183"/>
      <c r="DT405" s="183"/>
      <c r="DU405" s="113"/>
      <c r="DV405" s="113"/>
      <c r="DW405" s="113"/>
      <c r="DX405" s="183"/>
      <c r="DY405" s="183"/>
      <c r="DZ405" s="183"/>
      <c r="EA405" s="183"/>
      <c r="EB405" s="183"/>
      <c r="EC405" s="113"/>
      <c r="EE405" s="177"/>
      <c r="EF405" s="177"/>
      <c r="EG405" s="49"/>
    </row>
    <row r="406" spans="24:137" s="37" customFormat="1" hidden="1">
      <c r="X406" s="74"/>
      <c r="AB406" s="75"/>
      <c r="AJ406" s="81"/>
      <c r="AR406" s="81"/>
      <c r="AZ406" s="81"/>
      <c r="BG406" s="81"/>
      <c r="BN406" s="81"/>
      <c r="BV406" s="81"/>
      <c r="CC406" s="98"/>
      <c r="CD406" s="36"/>
      <c r="CE406" s="46"/>
      <c r="CF406" s="46"/>
      <c r="CG406" s="46"/>
      <c r="CH406" s="47"/>
      <c r="CI406" s="47"/>
      <c r="CJ406" s="47"/>
      <c r="CK406" s="173"/>
      <c r="CL406" s="173"/>
      <c r="CM406" s="173"/>
      <c r="CN406" s="173"/>
      <c r="CO406" s="173"/>
      <c r="CP406" s="173"/>
      <c r="CQ406" s="46"/>
      <c r="CR406" s="173"/>
      <c r="CS406" s="173"/>
      <c r="CT406" s="46"/>
      <c r="CU406" s="46"/>
      <c r="CV406" s="46"/>
      <c r="CW406" s="48"/>
      <c r="CX406" s="46"/>
      <c r="CY406" s="46"/>
      <c r="CZ406" s="48"/>
      <c r="DA406" s="48"/>
      <c r="DB406" s="48"/>
      <c r="DC406" s="48"/>
      <c r="DD406" s="46"/>
      <c r="DE406" s="46"/>
      <c r="DF406" s="48"/>
      <c r="DG406" s="48"/>
      <c r="DH406" s="48"/>
      <c r="DI406" s="49"/>
      <c r="DJ406" s="50"/>
      <c r="DK406" s="50">
        <v>0.05</v>
      </c>
      <c r="DR406" s="113"/>
      <c r="DS406" s="183"/>
      <c r="DT406" s="183"/>
      <c r="DU406" s="113"/>
      <c r="DV406" s="113"/>
      <c r="DW406" s="113"/>
      <c r="DX406" s="183"/>
      <c r="DY406" s="183"/>
      <c r="DZ406" s="183"/>
      <c r="EA406" s="183"/>
      <c r="EB406" s="183"/>
      <c r="EC406" s="113"/>
      <c r="EE406" s="177"/>
      <c r="EF406" s="177"/>
      <c r="EG406" s="49"/>
    </row>
    <row r="407" spans="24:137" s="37" customFormat="1" hidden="1">
      <c r="X407" s="74"/>
      <c r="AB407" s="75"/>
      <c r="AJ407" s="81"/>
      <c r="AR407" s="81"/>
      <c r="AZ407" s="81"/>
      <c r="BG407" s="81"/>
      <c r="BN407" s="81"/>
      <c r="BV407" s="81"/>
      <c r="CC407" s="98"/>
      <c r="CD407" s="36"/>
      <c r="CE407" s="46"/>
      <c r="CF407" s="46"/>
      <c r="CG407" s="46"/>
      <c r="CH407" s="47"/>
      <c r="CI407" s="47"/>
      <c r="CJ407" s="47"/>
      <c r="CK407" s="173"/>
      <c r="CL407" s="173"/>
      <c r="CM407" s="173"/>
      <c r="CN407" s="173"/>
      <c r="CO407" s="173"/>
      <c r="CP407" s="173"/>
      <c r="CQ407" s="46"/>
      <c r="CR407" s="173"/>
      <c r="CS407" s="173"/>
      <c r="CT407" s="46"/>
      <c r="CU407" s="46"/>
      <c r="CV407" s="46"/>
      <c r="CW407" s="48"/>
      <c r="CX407" s="46"/>
      <c r="CY407" s="46"/>
      <c r="CZ407" s="48"/>
      <c r="DA407" s="48"/>
      <c r="DB407" s="48"/>
      <c r="DC407" s="48"/>
      <c r="DD407" s="46"/>
      <c r="DE407" s="46"/>
      <c r="DF407" s="48"/>
      <c r="DG407" s="48"/>
      <c r="DH407" s="48"/>
      <c r="DI407" s="49"/>
      <c r="DJ407" s="50"/>
      <c r="DK407" s="50">
        <v>0.05</v>
      </c>
      <c r="DR407" s="113"/>
      <c r="DS407" s="183"/>
      <c r="DT407" s="183"/>
      <c r="DU407" s="113"/>
      <c r="DV407" s="113"/>
      <c r="DW407" s="113"/>
      <c r="DX407" s="183"/>
      <c r="DY407" s="183"/>
      <c r="DZ407" s="183"/>
      <c r="EA407" s="183"/>
      <c r="EB407" s="183"/>
      <c r="EC407" s="113"/>
      <c r="EE407" s="177"/>
      <c r="EF407" s="177"/>
      <c r="EG407" s="49"/>
    </row>
    <row r="408" spans="24:137" s="37" customFormat="1" hidden="1">
      <c r="X408" s="74"/>
      <c r="AB408" s="75"/>
      <c r="AJ408" s="81"/>
      <c r="AR408" s="81"/>
      <c r="AZ408" s="81"/>
      <c r="BG408" s="81"/>
      <c r="BN408" s="81"/>
      <c r="BV408" s="81"/>
      <c r="CC408" s="98"/>
      <c r="CD408" s="36"/>
      <c r="CE408" s="46"/>
      <c r="CF408" s="46"/>
      <c r="CG408" s="46"/>
      <c r="CH408" s="47"/>
      <c r="CI408" s="47"/>
      <c r="CJ408" s="47"/>
      <c r="CK408" s="173"/>
      <c r="CL408" s="173"/>
      <c r="CM408" s="173"/>
      <c r="CN408" s="173"/>
      <c r="CO408" s="173"/>
      <c r="CP408" s="173"/>
      <c r="CQ408" s="46"/>
      <c r="CR408" s="173"/>
      <c r="CS408" s="173"/>
      <c r="CT408" s="46"/>
      <c r="CU408" s="46"/>
      <c r="CV408" s="46"/>
      <c r="CW408" s="48"/>
      <c r="CX408" s="46"/>
      <c r="CY408" s="46"/>
      <c r="CZ408" s="48"/>
      <c r="DA408" s="48"/>
      <c r="DB408" s="48"/>
      <c r="DC408" s="48"/>
      <c r="DD408" s="46"/>
      <c r="DE408" s="46"/>
      <c r="DF408" s="48"/>
      <c r="DG408" s="48"/>
      <c r="DH408" s="48"/>
      <c r="DI408" s="49"/>
      <c r="DJ408" s="50"/>
      <c r="DK408" s="50">
        <v>0.05</v>
      </c>
      <c r="DR408" s="113"/>
      <c r="DS408" s="183"/>
      <c r="DT408" s="183"/>
      <c r="DU408" s="113"/>
      <c r="DV408" s="113"/>
      <c r="DW408" s="113"/>
      <c r="DX408" s="183"/>
      <c r="DY408" s="183"/>
      <c r="DZ408" s="183"/>
      <c r="EA408" s="183"/>
      <c r="EB408" s="183"/>
      <c r="EC408" s="113"/>
      <c r="EE408" s="177"/>
      <c r="EF408" s="177"/>
      <c r="EG408" s="49"/>
    </row>
    <row r="409" spans="24:137" s="37" customFormat="1" hidden="1">
      <c r="X409" s="74"/>
      <c r="AB409" s="75"/>
      <c r="AJ409" s="81"/>
      <c r="AR409" s="81"/>
      <c r="AZ409" s="81"/>
      <c r="BG409" s="81"/>
      <c r="BN409" s="81"/>
      <c r="BV409" s="81"/>
      <c r="CC409" s="98"/>
      <c r="CD409" s="36"/>
      <c r="CE409" s="46"/>
      <c r="CF409" s="46"/>
      <c r="CG409" s="46"/>
      <c r="CH409" s="47"/>
      <c r="CI409" s="47"/>
      <c r="CJ409" s="47"/>
      <c r="CK409" s="173"/>
      <c r="CL409" s="173"/>
      <c r="CM409" s="173"/>
      <c r="CN409" s="173"/>
      <c r="CO409" s="173"/>
      <c r="CP409" s="173"/>
      <c r="CQ409" s="46"/>
      <c r="CR409" s="173"/>
      <c r="CS409" s="173"/>
      <c r="CT409" s="46"/>
      <c r="CU409" s="46"/>
      <c r="CV409" s="46"/>
      <c r="CW409" s="48"/>
      <c r="CX409" s="46"/>
      <c r="CY409" s="46"/>
      <c r="CZ409" s="48"/>
      <c r="DA409" s="48"/>
      <c r="DB409" s="48"/>
      <c r="DC409" s="48"/>
      <c r="DD409" s="46"/>
      <c r="DE409" s="46"/>
      <c r="DF409" s="48"/>
      <c r="DG409" s="48"/>
      <c r="DH409" s="48"/>
      <c r="DI409" s="49"/>
      <c r="DJ409" s="50"/>
      <c r="DK409" s="50">
        <v>0.05</v>
      </c>
      <c r="DR409" s="113"/>
      <c r="DS409" s="183"/>
      <c r="DT409" s="183"/>
      <c r="DU409" s="113"/>
      <c r="DV409" s="113"/>
      <c r="DW409" s="113"/>
      <c r="DX409" s="183"/>
      <c r="DY409" s="183"/>
      <c r="DZ409" s="183"/>
      <c r="EA409" s="183"/>
      <c r="EB409" s="183"/>
      <c r="EC409" s="113"/>
      <c r="EE409" s="177"/>
      <c r="EF409" s="177"/>
      <c r="EG409" s="49"/>
    </row>
    <row r="410" spans="24:137" s="37" customFormat="1" hidden="1">
      <c r="X410" s="74"/>
      <c r="AB410" s="75"/>
      <c r="AJ410" s="81"/>
      <c r="AR410" s="81"/>
      <c r="AZ410" s="81"/>
      <c r="BG410" s="81"/>
      <c r="BN410" s="81"/>
      <c r="BV410" s="81"/>
      <c r="CC410" s="98"/>
      <c r="CD410" s="36"/>
      <c r="CE410" s="46"/>
      <c r="CF410" s="46"/>
      <c r="CG410" s="46"/>
      <c r="CH410" s="47"/>
      <c r="CI410" s="47"/>
      <c r="CJ410" s="47"/>
      <c r="CK410" s="173"/>
      <c r="CL410" s="173"/>
      <c r="CM410" s="173"/>
      <c r="CN410" s="173"/>
      <c r="CO410" s="173"/>
      <c r="CP410" s="173"/>
      <c r="CQ410" s="46"/>
      <c r="CR410" s="173"/>
      <c r="CS410" s="173"/>
      <c r="CT410" s="46"/>
      <c r="CU410" s="46"/>
      <c r="CV410" s="46"/>
      <c r="CW410" s="48"/>
      <c r="CX410" s="46"/>
      <c r="CY410" s="46"/>
      <c r="CZ410" s="48"/>
      <c r="DA410" s="48"/>
      <c r="DB410" s="48"/>
      <c r="DC410" s="48"/>
      <c r="DD410" s="46"/>
      <c r="DE410" s="46"/>
      <c r="DF410" s="48"/>
      <c r="DG410" s="48"/>
      <c r="DH410" s="48"/>
      <c r="DI410" s="49"/>
      <c r="DJ410" s="50"/>
      <c r="DK410" s="50">
        <v>0.05</v>
      </c>
      <c r="DR410" s="113"/>
      <c r="DS410" s="183"/>
      <c r="DT410" s="183"/>
      <c r="DU410" s="113"/>
      <c r="DV410" s="113"/>
      <c r="DW410" s="113"/>
      <c r="DX410" s="183"/>
      <c r="DY410" s="183"/>
      <c r="DZ410" s="183"/>
      <c r="EA410" s="183"/>
      <c r="EB410" s="183"/>
      <c r="EC410" s="113"/>
      <c r="EE410" s="177"/>
      <c r="EF410" s="177"/>
      <c r="EG410" s="49"/>
    </row>
    <row r="411" spans="24:137" s="37" customFormat="1" hidden="1">
      <c r="X411" s="74"/>
      <c r="AB411" s="75"/>
      <c r="AJ411" s="81"/>
      <c r="AR411" s="81"/>
      <c r="AZ411" s="81"/>
      <c r="BG411" s="81"/>
      <c r="BN411" s="81"/>
      <c r="BV411" s="81"/>
      <c r="CC411" s="98"/>
      <c r="CD411" s="36"/>
      <c r="CE411" s="46"/>
      <c r="CF411" s="46"/>
      <c r="CG411" s="46"/>
      <c r="CH411" s="47"/>
      <c r="CI411" s="47"/>
      <c r="CJ411" s="47"/>
      <c r="CK411" s="173"/>
      <c r="CL411" s="173"/>
      <c r="CM411" s="173"/>
      <c r="CN411" s="173"/>
      <c r="CO411" s="173"/>
      <c r="CP411" s="173"/>
      <c r="CQ411" s="46"/>
      <c r="CR411" s="173"/>
      <c r="CS411" s="173"/>
      <c r="CT411" s="46"/>
      <c r="CU411" s="46"/>
      <c r="CV411" s="46"/>
      <c r="CW411" s="48"/>
      <c r="CX411" s="46"/>
      <c r="CY411" s="46"/>
      <c r="CZ411" s="48"/>
      <c r="DA411" s="48"/>
      <c r="DB411" s="48"/>
      <c r="DC411" s="48"/>
      <c r="DD411" s="46"/>
      <c r="DE411" s="46"/>
      <c r="DF411" s="48"/>
      <c r="DG411" s="48"/>
      <c r="DH411" s="48"/>
      <c r="DI411" s="49"/>
      <c r="DJ411" s="50"/>
      <c r="DK411" s="50">
        <v>0.05</v>
      </c>
      <c r="DR411" s="113"/>
      <c r="DS411" s="183"/>
      <c r="DT411" s="183"/>
      <c r="DU411" s="113"/>
      <c r="DV411" s="113"/>
      <c r="DW411" s="113"/>
      <c r="DX411" s="183"/>
      <c r="DY411" s="183"/>
      <c r="DZ411" s="183"/>
      <c r="EA411" s="183"/>
      <c r="EB411" s="183"/>
      <c r="EC411" s="113"/>
      <c r="EE411" s="177"/>
      <c r="EF411" s="177"/>
      <c r="EG411" s="49"/>
    </row>
    <row r="412" spans="24:137" s="37" customFormat="1" hidden="1">
      <c r="X412" s="74"/>
      <c r="AB412" s="75"/>
      <c r="AJ412" s="81"/>
      <c r="AR412" s="81"/>
      <c r="AZ412" s="81"/>
      <c r="BG412" s="81"/>
      <c r="BN412" s="81"/>
      <c r="BV412" s="81"/>
      <c r="CC412" s="98"/>
      <c r="CD412" s="36"/>
      <c r="CE412" s="46"/>
      <c r="CF412" s="46"/>
      <c r="CG412" s="46"/>
      <c r="CH412" s="47"/>
      <c r="CI412" s="47"/>
      <c r="CJ412" s="47"/>
      <c r="CK412" s="173"/>
      <c r="CL412" s="173"/>
      <c r="CM412" s="173"/>
      <c r="CN412" s="173"/>
      <c r="CO412" s="173"/>
      <c r="CP412" s="173"/>
      <c r="CQ412" s="46"/>
      <c r="CR412" s="173"/>
      <c r="CS412" s="173"/>
      <c r="CT412" s="46"/>
      <c r="CU412" s="46"/>
      <c r="CV412" s="46"/>
      <c r="CW412" s="48"/>
      <c r="CX412" s="46"/>
      <c r="CY412" s="46"/>
      <c r="CZ412" s="48"/>
      <c r="DA412" s="48"/>
      <c r="DB412" s="48"/>
      <c r="DC412" s="48"/>
      <c r="DD412" s="46"/>
      <c r="DE412" s="46"/>
      <c r="DF412" s="48"/>
      <c r="DG412" s="48"/>
      <c r="DH412" s="48"/>
      <c r="DI412" s="49"/>
      <c r="DJ412" s="50"/>
      <c r="DK412" s="50">
        <v>0.05</v>
      </c>
      <c r="DR412" s="113"/>
      <c r="DS412" s="183"/>
      <c r="DT412" s="183"/>
      <c r="DU412" s="113"/>
      <c r="DV412" s="113"/>
      <c r="DW412" s="113"/>
      <c r="DX412" s="183"/>
      <c r="DY412" s="183"/>
      <c r="DZ412" s="183"/>
      <c r="EA412" s="183"/>
      <c r="EB412" s="183"/>
      <c r="EC412" s="113"/>
      <c r="EE412" s="177"/>
      <c r="EF412" s="177"/>
      <c r="EG412" s="49"/>
    </row>
    <row r="413" spans="24:137" s="37" customFormat="1" ht="14.65" hidden="1" thickBot="1">
      <c r="X413" s="74"/>
      <c r="AB413" s="75"/>
      <c r="AJ413" s="81"/>
      <c r="AR413" s="81"/>
      <c r="AZ413" s="81"/>
      <c r="BG413" s="81"/>
      <c r="BN413" s="81"/>
      <c r="BV413" s="81"/>
      <c r="CC413" s="98"/>
      <c r="CD413" s="36"/>
      <c r="CE413" s="46"/>
      <c r="CF413" s="46"/>
      <c r="CG413" s="46"/>
      <c r="CH413" s="47"/>
      <c r="CI413" s="47"/>
      <c r="CJ413" s="47"/>
      <c r="CK413" s="173"/>
      <c r="CL413" s="173"/>
      <c r="CM413" s="173"/>
      <c r="CN413" s="173"/>
      <c r="CO413" s="173"/>
      <c r="CP413" s="173"/>
      <c r="CQ413" s="46"/>
      <c r="CR413" s="173"/>
      <c r="CS413" s="173"/>
      <c r="CT413" s="46"/>
      <c r="CU413" s="46"/>
      <c r="CV413" s="46"/>
      <c r="CW413" s="48"/>
      <c r="CX413" s="46"/>
      <c r="CY413" s="46"/>
      <c r="CZ413" s="48"/>
      <c r="DA413" s="48"/>
      <c r="DB413" s="48"/>
      <c r="DC413" s="48"/>
      <c r="DD413" s="46"/>
      <c r="DE413" s="46"/>
      <c r="DF413" s="48"/>
      <c r="DG413" s="48"/>
      <c r="DH413" s="48"/>
      <c r="DI413" s="49"/>
      <c r="DJ413" s="50"/>
      <c r="DK413" s="50">
        <v>0.05</v>
      </c>
      <c r="DR413" s="113"/>
      <c r="DS413" s="183"/>
      <c r="DT413" s="183"/>
      <c r="DU413" s="113"/>
      <c r="DV413" s="113"/>
      <c r="DW413" s="113"/>
      <c r="DX413" s="183"/>
      <c r="DY413" s="183"/>
      <c r="DZ413" s="183"/>
      <c r="EA413" s="183"/>
      <c r="EB413" s="183"/>
      <c r="EC413" s="113"/>
      <c r="EE413" s="177"/>
      <c r="EF413" s="177"/>
      <c r="EG413" s="49"/>
    </row>
    <row r="414" spans="24:137" s="37" customFormat="1" ht="14.65" hidden="1" thickBot="1">
      <c r="X414" s="74"/>
      <c r="AB414" s="75"/>
      <c r="AJ414" s="81"/>
      <c r="AR414" s="81"/>
      <c r="AZ414" s="81"/>
      <c r="BG414" s="81"/>
      <c r="BN414" s="81"/>
      <c r="BV414" s="81"/>
      <c r="CC414" s="98"/>
      <c r="CD414" s="179" t="s">
        <v>733</v>
      </c>
      <c r="CE414" s="180" t="s">
        <v>541</v>
      </c>
      <c r="CF414" s="46"/>
      <c r="CG414" s="46"/>
      <c r="CH414" s="47"/>
      <c r="CI414" s="47"/>
      <c r="CJ414" s="47"/>
      <c r="CK414" s="173"/>
      <c r="CL414" s="173"/>
      <c r="CM414" s="173"/>
      <c r="CN414" s="173"/>
      <c r="CO414" s="173"/>
      <c r="CP414" s="173"/>
      <c r="CQ414" s="46"/>
      <c r="CR414" s="173"/>
      <c r="CS414" s="173"/>
      <c r="CT414" s="46"/>
      <c r="CU414" s="46"/>
      <c r="CV414" s="46"/>
      <c r="CW414" s="48"/>
      <c r="CX414" s="46"/>
      <c r="CY414" s="46"/>
      <c r="CZ414" s="48"/>
      <c r="DA414" s="48"/>
      <c r="DB414" s="48"/>
      <c r="DC414" s="48"/>
      <c r="DD414" s="46"/>
      <c r="DE414" s="46"/>
      <c r="DF414" s="48"/>
      <c r="DG414" s="48"/>
      <c r="DH414" s="48"/>
      <c r="DI414" s="49"/>
      <c r="DJ414" s="50">
        <v>0.05</v>
      </c>
      <c r="DK414" s="50">
        <v>0.05</v>
      </c>
      <c r="DR414" s="113"/>
      <c r="DS414" s="183"/>
      <c r="DT414" s="183"/>
      <c r="DU414" s="113"/>
      <c r="DV414" s="113"/>
      <c r="DW414" s="113"/>
      <c r="DX414" s="183"/>
      <c r="DY414" s="183"/>
      <c r="DZ414" s="183"/>
      <c r="EA414" s="183"/>
      <c r="EB414" s="183"/>
      <c r="EC414" s="113"/>
      <c r="EE414" s="177"/>
      <c r="EF414" s="177"/>
      <c r="EG414" s="49"/>
    </row>
    <row r="415" spans="24:137" s="37" customFormat="1" ht="14.65" hidden="1" thickBot="1">
      <c r="X415" s="74"/>
      <c r="AB415" s="75"/>
      <c r="AJ415" s="81"/>
      <c r="AR415" s="81"/>
      <c r="AZ415" s="81"/>
      <c r="BG415" s="81"/>
      <c r="BN415" s="81"/>
      <c r="BV415" s="81"/>
      <c r="CC415" s="98"/>
      <c r="CD415" s="99">
        <v>0</v>
      </c>
      <c r="CE415" s="118">
        <v>0</v>
      </c>
      <c r="CF415" s="46"/>
      <c r="CG415" s="46"/>
      <c r="CH415" s="47"/>
      <c r="CI415" s="47"/>
      <c r="CJ415" s="47"/>
      <c r="CK415" s="173"/>
      <c r="CL415" s="173"/>
      <c r="CM415" s="173"/>
      <c r="CN415" s="173"/>
      <c r="CO415" s="173"/>
      <c r="CP415" s="173"/>
      <c r="CQ415" s="46"/>
      <c r="CR415" s="173"/>
      <c r="CS415" s="173"/>
      <c r="CT415" s="46"/>
      <c r="CU415" s="46"/>
      <c r="CV415" s="46"/>
      <c r="CW415" s="48"/>
      <c r="CX415" s="46"/>
      <c r="CY415" s="46"/>
      <c r="CZ415" s="48"/>
      <c r="DA415" s="48"/>
      <c r="DB415" s="48"/>
      <c r="DC415" s="48"/>
      <c r="DD415" s="46"/>
      <c r="DE415" s="46"/>
      <c r="DF415" s="48"/>
      <c r="DG415" s="48"/>
      <c r="DH415" s="48"/>
      <c r="DI415" s="49"/>
      <c r="DJ415" s="50"/>
      <c r="DK415" s="50">
        <f>CI405</f>
        <v>0</v>
      </c>
      <c r="DR415" s="113"/>
      <c r="DS415" s="183"/>
      <c r="DT415" s="183"/>
      <c r="DU415" s="113"/>
      <c r="DV415" s="113"/>
      <c r="DW415" s="113"/>
      <c r="DX415" s="183"/>
      <c r="DY415" s="183"/>
      <c r="DZ415" s="183"/>
      <c r="EA415" s="183"/>
      <c r="EB415" s="183"/>
      <c r="EC415" s="113"/>
      <c r="EE415" s="177"/>
      <c r="EF415" s="177"/>
      <c r="EG415" s="49"/>
    </row>
    <row r="416" spans="24:137" s="37" customFormat="1" ht="14.65" hidden="1" thickBot="1">
      <c r="X416" s="74"/>
      <c r="AB416" s="75"/>
      <c r="AJ416" s="81"/>
      <c r="AR416" s="81"/>
      <c r="AZ416" s="81"/>
      <c r="BG416" s="81"/>
      <c r="BN416" s="81"/>
      <c r="BV416" s="81"/>
      <c r="CC416" s="98"/>
      <c r="CD416" s="99">
        <v>2</v>
      </c>
      <c r="CE416" s="118">
        <v>12.71</v>
      </c>
      <c r="CF416" s="46"/>
      <c r="CG416" s="46"/>
      <c r="CH416" s="47"/>
      <c r="CI416" s="47"/>
      <c r="CJ416" s="47"/>
      <c r="CK416" s="173"/>
      <c r="CL416" s="173"/>
      <c r="CM416" s="173"/>
      <c r="CN416" s="173"/>
      <c r="CO416" s="173"/>
      <c r="CP416" s="173"/>
      <c r="CQ416" s="46"/>
      <c r="CR416" s="173"/>
      <c r="CS416" s="173"/>
      <c r="CT416" s="46"/>
      <c r="CU416" s="46"/>
      <c r="CV416" s="46"/>
      <c r="CW416" s="48"/>
      <c r="CX416" s="46"/>
      <c r="CY416" s="46"/>
      <c r="CZ416" s="48"/>
      <c r="DA416" s="48"/>
      <c r="DB416" s="48"/>
      <c r="DC416" s="48"/>
      <c r="DD416" s="46"/>
      <c r="DE416" s="46"/>
      <c r="DF416" s="48"/>
      <c r="DG416" s="48"/>
      <c r="DH416" s="48"/>
      <c r="DI416" s="49"/>
      <c r="DJ416" s="50"/>
      <c r="DK416" s="50">
        <f>CI406</f>
        <v>0</v>
      </c>
      <c r="DR416" s="113"/>
      <c r="DS416" s="183"/>
      <c r="DT416" s="183"/>
      <c r="DU416" s="113"/>
      <c r="DV416" s="113"/>
      <c r="DW416" s="113"/>
      <c r="DX416" s="183"/>
      <c r="DY416" s="183"/>
      <c r="DZ416" s="183"/>
      <c r="EA416" s="183"/>
      <c r="EB416" s="183"/>
      <c r="EC416" s="113"/>
      <c r="EE416" s="177"/>
      <c r="EF416" s="177"/>
      <c r="EG416" s="49"/>
    </row>
    <row r="417" spans="24:138" s="37" customFormat="1" ht="14.65" hidden="1" thickBot="1">
      <c r="X417" s="74"/>
      <c r="AB417" s="75"/>
      <c r="AJ417" s="81"/>
      <c r="AR417" s="81"/>
      <c r="AZ417" s="81"/>
      <c r="BG417" s="81"/>
      <c r="BN417" s="81"/>
      <c r="BV417" s="81"/>
      <c r="CC417" s="98"/>
      <c r="CD417" s="99">
        <v>3</v>
      </c>
      <c r="CE417" s="118">
        <v>4.3</v>
      </c>
      <c r="CF417" s="46"/>
      <c r="CG417" s="46"/>
      <c r="CH417" s="47"/>
      <c r="CI417" s="47"/>
      <c r="CJ417" s="47"/>
      <c r="CK417" s="173"/>
      <c r="CL417" s="173"/>
      <c r="CM417" s="173"/>
      <c r="CN417" s="173"/>
      <c r="CO417" s="173"/>
      <c r="CP417" s="173"/>
      <c r="CQ417" s="46"/>
      <c r="CR417" s="173"/>
      <c r="CS417" s="173"/>
      <c r="CT417" s="46"/>
      <c r="CU417" s="46"/>
      <c r="CV417" s="46"/>
      <c r="CW417" s="48"/>
      <c r="CX417" s="46"/>
      <c r="CY417" s="46"/>
      <c r="CZ417" s="48"/>
      <c r="DA417" s="48"/>
      <c r="DB417" s="48"/>
      <c r="DC417" s="48"/>
      <c r="DD417" s="46"/>
      <c r="DE417" s="46"/>
      <c r="DF417" s="48"/>
      <c r="DG417" s="48"/>
      <c r="DH417" s="48"/>
      <c r="DI417" s="49"/>
      <c r="DJ417" s="50"/>
      <c r="DK417" s="50">
        <f>CI407</f>
        <v>0</v>
      </c>
      <c r="DR417" s="113"/>
      <c r="DS417" s="183"/>
      <c r="DT417" s="183"/>
      <c r="DU417" s="113"/>
      <c r="DV417" s="113"/>
      <c r="DW417" s="113"/>
      <c r="DX417" s="183"/>
      <c r="DY417" s="183"/>
      <c r="DZ417" s="183"/>
      <c r="EA417" s="183"/>
      <c r="EB417" s="183"/>
      <c r="EC417" s="113"/>
      <c r="EE417" s="177"/>
      <c r="EF417" s="177"/>
      <c r="EG417" s="49"/>
    </row>
    <row r="418" spans="24:138" s="37" customFormat="1" ht="14.65" hidden="1" thickBot="1">
      <c r="X418" s="74"/>
      <c r="AB418" s="75"/>
      <c r="AJ418" s="81"/>
      <c r="AR418" s="81"/>
      <c r="AZ418" s="81"/>
      <c r="BG418" s="81"/>
      <c r="BN418" s="81"/>
      <c r="BV418" s="81"/>
      <c r="CC418" s="98"/>
      <c r="CD418" s="99">
        <v>4</v>
      </c>
      <c r="CE418" s="118">
        <v>3.18</v>
      </c>
      <c r="CF418" s="46"/>
      <c r="CG418" s="46"/>
      <c r="CH418" s="47"/>
      <c r="CI418" s="47"/>
      <c r="CJ418" s="47"/>
      <c r="CK418" s="173"/>
      <c r="CL418" s="173"/>
      <c r="CM418" s="173"/>
      <c r="CN418" s="173"/>
      <c r="CO418" s="173"/>
      <c r="CP418" s="173"/>
      <c r="CQ418" s="46"/>
      <c r="CR418" s="173"/>
      <c r="CS418" s="173"/>
      <c r="CT418" s="46"/>
      <c r="CU418" s="46"/>
      <c r="CV418" s="46"/>
      <c r="CW418" s="48"/>
      <c r="CX418" s="46"/>
      <c r="CY418" s="46"/>
      <c r="CZ418" s="48"/>
      <c r="DA418" s="48"/>
      <c r="DB418" s="48"/>
      <c r="DC418" s="48"/>
      <c r="DD418" s="46"/>
      <c r="DE418" s="46"/>
      <c r="DF418" s="48"/>
      <c r="DG418" s="48"/>
      <c r="DH418" s="48"/>
      <c r="DI418" s="49"/>
      <c r="DJ418" s="50"/>
      <c r="DK418" s="50">
        <f t="shared" ref="DK418:DK465" si="625">CI408</f>
        <v>0</v>
      </c>
      <c r="DR418" s="113"/>
      <c r="DS418" s="183"/>
      <c r="DT418" s="183"/>
      <c r="DU418" s="113"/>
      <c r="DV418" s="113"/>
      <c r="DW418" s="113"/>
      <c r="DX418" s="183"/>
      <c r="DY418" s="183"/>
      <c r="DZ418" s="183"/>
      <c r="EA418" s="183"/>
      <c r="EB418" s="183"/>
      <c r="EC418" s="113"/>
      <c r="EE418" s="177"/>
      <c r="EF418" s="177"/>
      <c r="EG418" s="49"/>
    </row>
    <row r="419" spans="24:138" s="37" customFormat="1" ht="14.65" hidden="1" thickBot="1">
      <c r="X419" s="74"/>
      <c r="AB419" s="75"/>
      <c r="AJ419" s="81"/>
      <c r="AR419" s="81"/>
      <c r="AZ419" s="81"/>
      <c r="BG419" s="81"/>
      <c r="BN419" s="81"/>
      <c r="BV419" s="81"/>
      <c r="CC419" s="98"/>
      <c r="CD419" s="99">
        <v>5</v>
      </c>
      <c r="CE419" s="118">
        <v>2.78</v>
      </c>
      <c r="CF419" s="46"/>
      <c r="CG419" s="46"/>
      <c r="CH419" s="47"/>
      <c r="CI419" s="47"/>
      <c r="CJ419" s="47"/>
      <c r="CK419" s="173"/>
      <c r="CL419" s="173"/>
      <c r="CM419" s="173"/>
      <c r="CN419" s="173"/>
      <c r="CO419" s="173"/>
      <c r="CP419" s="173"/>
      <c r="CQ419" s="46"/>
      <c r="CR419" s="173"/>
      <c r="CS419" s="173"/>
      <c r="CT419" s="46"/>
      <c r="CU419" s="46"/>
      <c r="CV419" s="46"/>
      <c r="CW419" s="48"/>
      <c r="CX419" s="46"/>
      <c r="CY419" s="46"/>
      <c r="CZ419" s="48"/>
      <c r="DA419" s="48"/>
      <c r="DB419" s="48"/>
      <c r="DC419" s="48"/>
      <c r="DD419" s="46"/>
      <c r="DE419" s="46"/>
      <c r="DF419" s="48"/>
      <c r="DG419" s="48"/>
      <c r="DH419" s="48"/>
      <c r="DI419" s="49"/>
      <c r="DJ419" s="50"/>
      <c r="DK419" s="50">
        <f t="shared" si="625"/>
        <v>0</v>
      </c>
      <c r="DR419" s="113"/>
      <c r="DS419" s="183"/>
      <c r="DT419" s="183"/>
      <c r="DU419" s="113"/>
      <c r="DV419" s="113"/>
      <c r="DW419" s="113"/>
      <c r="DX419" s="183"/>
      <c r="DY419" s="183"/>
      <c r="DZ419" s="183"/>
      <c r="EA419" s="183"/>
      <c r="EB419" s="183"/>
      <c r="EC419" s="113"/>
      <c r="EE419" s="177"/>
      <c r="EF419" s="177"/>
      <c r="EG419" s="49"/>
    </row>
    <row r="420" spans="24:138" s="37" customFormat="1" ht="14.65" hidden="1" thickBot="1">
      <c r="X420" s="74"/>
      <c r="AB420" s="75"/>
      <c r="AJ420" s="81"/>
      <c r="AR420" s="81"/>
      <c r="AZ420" s="81"/>
      <c r="BG420" s="81"/>
      <c r="BN420" s="81"/>
      <c r="BV420" s="81"/>
      <c r="CC420" s="98"/>
      <c r="CD420" s="99">
        <v>6</v>
      </c>
      <c r="CE420" s="118">
        <v>2.57</v>
      </c>
      <c r="CF420" s="46"/>
      <c r="CG420" s="46"/>
      <c r="CH420" s="47"/>
      <c r="CI420" s="47"/>
      <c r="CJ420" s="47"/>
      <c r="CK420" s="173"/>
      <c r="CL420" s="173"/>
      <c r="CM420" s="173"/>
      <c r="CN420" s="173"/>
      <c r="CO420" s="173"/>
      <c r="CP420" s="173"/>
      <c r="CQ420" s="46"/>
      <c r="CR420" s="173"/>
      <c r="CS420" s="173"/>
      <c r="CT420" s="46"/>
      <c r="CU420" s="46"/>
      <c r="CV420" s="46"/>
      <c r="CW420" s="48"/>
      <c r="CX420" s="46"/>
      <c r="CY420" s="46"/>
      <c r="CZ420" s="48"/>
      <c r="DA420" s="48"/>
      <c r="DB420" s="48"/>
      <c r="DC420" s="48"/>
      <c r="DD420" s="46"/>
      <c r="DE420" s="46"/>
      <c r="DF420" s="48"/>
      <c r="DG420" s="48"/>
      <c r="DH420" s="48"/>
      <c r="DI420" s="49"/>
      <c r="DJ420" s="50"/>
      <c r="DK420" s="50">
        <f t="shared" si="625"/>
        <v>0</v>
      </c>
      <c r="DR420" s="113"/>
      <c r="DS420" s="183"/>
      <c r="DT420" s="183"/>
      <c r="DU420" s="113"/>
      <c r="DV420" s="113"/>
      <c r="DW420" s="113"/>
      <c r="DX420" s="183"/>
      <c r="DY420" s="183"/>
      <c r="DZ420" s="183"/>
      <c r="EA420" s="183"/>
      <c r="EB420" s="183"/>
      <c r="EC420" s="113"/>
      <c r="EE420" s="177"/>
      <c r="EF420" s="177"/>
      <c r="EG420" s="49"/>
    </row>
    <row r="421" spans="24:138" s="37" customFormat="1" ht="14.65" hidden="1" thickBot="1">
      <c r="X421" s="74"/>
      <c r="AB421" s="75"/>
      <c r="AJ421" s="81"/>
      <c r="AR421" s="81"/>
      <c r="AZ421" s="81"/>
      <c r="BG421" s="81"/>
      <c r="BN421" s="81"/>
      <c r="BV421" s="81"/>
      <c r="CC421" s="98"/>
      <c r="CD421" s="99">
        <v>7</v>
      </c>
      <c r="CE421" s="118">
        <v>2.4500000000000002</v>
      </c>
      <c r="CF421" s="46"/>
      <c r="CG421" s="46"/>
      <c r="CH421" s="47"/>
      <c r="CI421" s="47"/>
      <c r="CJ421" s="47"/>
      <c r="CK421" s="173"/>
      <c r="CL421" s="173"/>
      <c r="CM421" s="173"/>
      <c r="CN421" s="173"/>
      <c r="CO421" s="173"/>
      <c r="CP421" s="173"/>
      <c r="CQ421" s="46"/>
      <c r="CR421" s="173"/>
      <c r="CS421" s="173"/>
      <c r="CT421" s="46"/>
      <c r="CU421" s="46"/>
      <c r="CV421" s="46"/>
      <c r="CW421" s="48"/>
      <c r="CX421" s="46"/>
      <c r="CY421" s="46"/>
      <c r="CZ421" s="48"/>
      <c r="DA421" s="48"/>
      <c r="DB421" s="48"/>
      <c r="DC421" s="48"/>
      <c r="DD421" s="46"/>
      <c r="DE421" s="46"/>
      <c r="DF421" s="48"/>
      <c r="DG421" s="48"/>
      <c r="DH421" s="48"/>
      <c r="DI421" s="49"/>
      <c r="DJ421" s="50"/>
      <c r="DK421" s="50">
        <f t="shared" si="625"/>
        <v>0</v>
      </c>
      <c r="DR421" s="113"/>
      <c r="DS421" s="183"/>
      <c r="DT421" s="183"/>
      <c r="DU421" s="113"/>
      <c r="DV421" s="113"/>
      <c r="DW421" s="113"/>
      <c r="DX421" s="183"/>
      <c r="DY421" s="183"/>
      <c r="DZ421" s="183"/>
      <c r="EA421" s="183"/>
      <c r="EB421" s="183"/>
      <c r="EC421" s="113"/>
      <c r="EE421" s="177"/>
      <c r="EF421" s="177"/>
      <c r="EG421" s="49"/>
    </row>
    <row r="422" spans="24:138" s="37" customFormat="1" ht="14.65" hidden="1" thickBot="1">
      <c r="X422" s="74"/>
      <c r="AB422" s="75"/>
      <c r="AJ422" s="81"/>
      <c r="AR422" s="81"/>
      <c r="AZ422" s="81"/>
      <c r="BG422" s="81"/>
      <c r="BN422" s="81"/>
      <c r="BV422" s="81"/>
      <c r="CC422" s="98"/>
      <c r="CD422" s="99">
        <v>8</v>
      </c>
      <c r="CE422" s="118">
        <v>2.36</v>
      </c>
      <c r="CF422" s="46"/>
      <c r="CG422" s="46"/>
      <c r="CH422" s="47"/>
      <c r="CI422" s="47"/>
      <c r="CJ422" s="47"/>
      <c r="CK422" s="173"/>
      <c r="CL422" s="173"/>
      <c r="CM422" s="173"/>
      <c r="CN422" s="173"/>
      <c r="CO422" s="173"/>
      <c r="CP422" s="173"/>
      <c r="CQ422" s="46"/>
      <c r="CR422" s="173"/>
      <c r="CS422" s="173"/>
      <c r="CT422" s="46"/>
      <c r="CU422" s="46"/>
      <c r="CV422" s="46"/>
      <c r="CW422" s="48"/>
      <c r="CX422" s="46"/>
      <c r="CY422" s="46"/>
      <c r="CZ422" s="48"/>
      <c r="DA422" s="48"/>
      <c r="DB422" s="48"/>
      <c r="DC422" s="48"/>
      <c r="DD422" s="46"/>
      <c r="DE422" s="46"/>
      <c r="DF422" s="48"/>
      <c r="DG422" s="48"/>
      <c r="DH422" s="48"/>
      <c r="DI422" s="49"/>
      <c r="DJ422" s="50"/>
      <c r="DK422" s="50">
        <f t="shared" si="625"/>
        <v>0</v>
      </c>
      <c r="DR422" s="113"/>
      <c r="DS422" s="183"/>
      <c r="DT422" s="183"/>
      <c r="DU422" s="113"/>
      <c r="DV422" s="113"/>
      <c r="DW422" s="113"/>
      <c r="DX422" s="183"/>
      <c r="DY422" s="183"/>
      <c r="DZ422" s="183"/>
      <c r="EA422" s="183"/>
      <c r="EB422" s="183"/>
      <c r="EC422" s="113"/>
      <c r="EE422" s="177"/>
      <c r="EF422" s="177"/>
      <c r="EG422" s="49"/>
    </row>
    <row r="423" spans="24:138" s="37" customFormat="1" ht="14.65" hidden="1" thickBot="1">
      <c r="X423" s="74"/>
      <c r="AB423" s="75"/>
      <c r="AJ423" s="81"/>
      <c r="AR423" s="81"/>
      <c r="AZ423" s="81"/>
      <c r="BG423" s="81"/>
      <c r="BN423" s="81"/>
      <c r="BV423" s="81"/>
      <c r="CC423" s="98"/>
      <c r="CD423" s="99">
        <v>9</v>
      </c>
      <c r="CE423" s="118">
        <v>2.31</v>
      </c>
      <c r="CF423" s="46"/>
      <c r="CG423" s="46"/>
      <c r="CH423" s="47"/>
      <c r="CI423" s="47"/>
      <c r="CJ423" s="47"/>
      <c r="CK423" s="173"/>
      <c r="CL423" s="173"/>
      <c r="CM423" s="173"/>
      <c r="CN423" s="173"/>
      <c r="CO423" s="173"/>
      <c r="CP423" s="173"/>
      <c r="CQ423" s="46"/>
      <c r="CR423" s="173"/>
      <c r="CS423" s="173"/>
      <c r="CT423" s="46"/>
      <c r="CU423" s="46"/>
      <c r="CV423" s="46"/>
      <c r="CW423" s="48"/>
      <c r="CX423" s="46"/>
      <c r="CY423" s="46"/>
      <c r="CZ423" s="48"/>
      <c r="DA423" s="48"/>
      <c r="DB423" s="48"/>
      <c r="DC423" s="48"/>
      <c r="DD423" s="46"/>
      <c r="DE423" s="46"/>
      <c r="DF423" s="48"/>
      <c r="DG423" s="48"/>
      <c r="DH423" s="48"/>
      <c r="DI423" s="49"/>
      <c r="DJ423" s="50"/>
      <c r="DK423" s="50">
        <f t="shared" si="625"/>
        <v>0</v>
      </c>
      <c r="DR423" s="113"/>
      <c r="DS423" s="183"/>
      <c r="DT423" s="183"/>
      <c r="DU423" s="113"/>
      <c r="DV423" s="113"/>
      <c r="DW423" s="113"/>
      <c r="DX423" s="183"/>
      <c r="DY423" s="183"/>
      <c r="DZ423" s="183"/>
      <c r="EA423" s="183"/>
      <c r="EB423" s="183"/>
      <c r="EC423" s="113"/>
      <c r="EE423" s="177"/>
      <c r="EF423" s="177"/>
      <c r="EG423" s="49"/>
    </row>
    <row r="424" spans="24:138" s="37" customFormat="1" ht="14.65" hidden="1" thickBot="1">
      <c r="X424" s="74"/>
      <c r="AB424" s="75"/>
      <c r="AJ424" s="81"/>
      <c r="AR424" s="81"/>
      <c r="AZ424" s="81"/>
      <c r="BG424" s="81"/>
      <c r="BN424" s="81"/>
      <c r="BV424" s="81"/>
      <c r="CC424" s="98"/>
      <c r="CD424" s="99">
        <v>10</v>
      </c>
      <c r="CE424" s="118">
        <v>2.2599999999999998</v>
      </c>
      <c r="CF424" s="46"/>
      <c r="CG424" s="46"/>
      <c r="CH424" s="47"/>
      <c r="CI424" s="47"/>
      <c r="CJ424" s="47"/>
      <c r="CK424" s="173"/>
      <c r="CL424" s="173"/>
      <c r="CM424" s="173"/>
      <c r="CN424" s="173"/>
      <c r="CO424" s="173"/>
      <c r="CP424" s="173"/>
      <c r="CQ424" s="46"/>
      <c r="CR424" s="173"/>
      <c r="CS424" s="173"/>
      <c r="CT424" s="46"/>
      <c r="CU424" s="46"/>
      <c r="CV424" s="46"/>
      <c r="CW424" s="48"/>
      <c r="CX424" s="46"/>
      <c r="CY424" s="46"/>
      <c r="CZ424" s="48"/>
      <c r="DA424" s="48"/>
      <c r="DB424" s="48"/>
      <c r="DC424" s="48"/>
      <c r="DD424" s="46"/>
      <c r="DE424" s="46"/>
      <c r="DF424" s="48"/>
      <c r="DG424" s="48"/>
      <c r="DH424" s="48"/>
      <c r="DI424" s="49"/>
      <c r="DJ424" s="50"/>
      <c r="DK424" s="50">
        <f t="shared" si="625"/>
        <v>0</v>
      </c>
      <c r="DR424" s="113"/>
      <c r="DS424" s="183"/>
      <c r="DT424" s="183"/>
      <c r="DU424" s="113"/>
      <c r="DV424" s="113"/>
      <c r="DW424" s="113"/>
      <c r="DX424" s="183"/>
      <c r="DY424" s="183"/>
      <c r="DZ424" s="183"/>
      <c r="EA424" s="183"/>
      <c r="EB424" s="183"/>
      <c r="EC424" s="113"/>
      <c r="EE424" s="177"/>
      <c r="EF424" s="177"/>
      <c r="EG424" s="49"/>
    </row>
    <row r="425" spans="24:138" s="37" customFormat="1" ht="14.65" hidden="1" thickBot="1">
      <c r="X425" s="74"/>
      <c r="AB425" s="75"/>
      <c r="AJ425" s="81"/>
      <c r="AR425" s="81"/>
      <c r="AZ425" s="81"/>
      <c r="BG425" s="81"/>
      <c r="BN425" s="81"/>
      <c r="BV425" s="81"/>
      <c r="CC425" s="98"/>
      <c r="CD425" s="99">
        <v>11</v>
      </c>
      <c r="CE425" s="118">
        <v>2.23</v>
      </c>
      <c r="CF425" s="46"/>
      <c r="CG425" s="46"/>
      <c r="CH425" s="47"/>
      <c r="CI425" s="47"/>
      <c r="CJ425" s="47"/>
      <c r="CK425" s="173"/>
      <c r="CL425" s="173"/>
      <c r="CM425" s="173"/>
      <c r="CN425" s="173"/>
      <c r="CO425" s="173"/>
      <c r="CP425" s="173"/>
      <c r="CQ425" s="46"/>
      <c r="CR425" s="173"/>
      <c r="CS425" s="173"/>
      <c r="CT425" s="46"/>
      <c r="CU425" s="46"/>
      <c r="CV425" s="46"/>
      <c r="CW425" s="48"/>
      <c r="CX425" s="46"/>
      <c r="CY425" s="46"/>
      <c r="CZ425" s="48"/>
      <c r="DA425" s="48"/>
      <c r="DB425" s="48"/>
      <c r="DC425" s="48"/>
      <c r="DD425" s="46"/>
      <c r="DE425" s="46"/>
      <c r="DF425" s="48"/>
      <c r="DG425" s="48"/>
      <c r="DH425" s="48"/>
      <c r="DI425" s="49"/>
      <c r="DJ425" s="50"/>
      <c r="DK425" s="50">
        <f t="shared" si="625"/>
        <v>0</v>
      </c>
      <c r="DR425" s="113"/>
      <c r="DS425" s="183"/>
      <c r="DT425" s="183"/>
      <c r="DU425" s="113"/>
      <c r="DV425" s="113"/>
      <c r="DW425" s="113"/>
      <c r="DX425" s="183"/>
      <c r="DY425" s="183"/>
      <c r="DZ425" s="183"/>
      <c r="EA425" s="183"/>
      <c r="EB425" s="183"/>
      <c r="EC425" s="113"/>
      <c r="EE425" s="177"/>
      <c r="EF425" s="177"/>
      <c r="EG425" s="49"/>
    </row>
    <row r="426" spans="24:138" s="37" customFormat="1" ht="14.65" hidden="1" thickBot="1">
      <c r="X426" s="74"/>
      <c r="AB426" s="75"/>
      <c r="AJ426" s="81"/>
      <c r="AR426" s="81"/>
      <c r="AZ426" s="81"/>
      <c r="BG426" s="81"/>
      <c r="BN426" s="81"/>
      <c r="BV426" s="81"/>
      <c r="CC426" s="98"/>
      <c r="CD426" s="99">
        <v>12</v>
      </c>
      <c r="CE426" s="118">
        <v>2.2000000000000002</v>
      </c>
      <c r="CF426" s="46"/>
      <c r="CG426" s="46"/>
      <c r="CH426" s="47"/>
      <c r="CI426" s="47"/>
      <c r="CJ426" s="47"/>
      <c r="CK426" s="48"/>
      <c r="CL426" s="48"/>
      <c r="CM426" s="48"/>
      <c r="CN426" s="48"/>
      <c r="CO426" s="48"/>
      <c r="CP426" s="48"/>
      <c r="CQ426" s="48"/>
      <c r="CR426" s="48"/>
      <c r="CS426" s="48"/>
      <c r="CT426" s="48"/>
      <c r="CU426" s="48"/>
      <c r="CV426" s="48"/>
      <c r="CW426" s="48"/>
      <c r="CX426" s="46"/>
      <c r="CY426" s="46"/>
      <c r="CZ426" s="48"/>
      <c r="DA426" s="48"/>
      <c r="DB426" s="48"/>
      <c r="DC426" s="48"/>
      <c r="DD426" s="46"/>
      <c r="DE426" s="46"/>
      <c r="DF426" s="48"/>
      <c r="DG426" s="48"/>
      <c r="DH426" s="48"/>
      <c r="DI426" s="49"/>
      <c r="DJ426" s="50"/>
      <c r="DK426" s="50">
        <f t="shared" si="625"/>
        <v>0</v>
      </c>
      <c r="DR426" s="49"/>
      <c r="DS426" s="49"/>
      <c r="DT426" s="49"/>
      <c r="DU426" s="49"/>
      <c r="DV426" s="49"/>
      <c r="DW426" s="49"/>
      <c r="DX426" s="49"/>
      <c r="DY426" s="49"/>
      <c r="DZ426" s="49"/>
      <c r="EA426" s="49"/>
      <c r="EB426" s="49"/>
      <c r="EC426" s="49"/>
      <c r="ED426" s="49"/>
    </row>
    <row r="427" spans="24:138" s="37" customFormat="1" hidden="1">
      <c r="X427" s="74"/>
      <c r="AB427" s="75"/>
      <c r="AJ427" s="81"/>
      <c r="AR427" s="81"/>
      <c r="AZ427" s="81"/>
      <c r="BG427" s="81"/>
      <c r="BN427" s="81"/>
      <c r="BV427" s="81"/>
      <c r="CC427" s="98"/>
      <c r="CD427" s="36"/>
      <c r="CE427" s="46"/>
      <c r="CF427" s="46"/>
      <c r="CG427" s="46"/>
      <c r="CH427" s="47"/>
      <c r="CI427" s="47"/>
      <c r="CJ427" s="47"/>
      <c r="CK427" s="48"/>
      <c r="CL427" s="48"/>
      <c r="CM427" s="48"/>
      <c r="CN427" s="48"/>
      <c r="CO427" s="48"/>
      <c r="CP427" s="48"/>
      <c r="CQ427" s="48"/>
      <c r="CR427" s="48"/>
      <c r="CS427" s="48"/>
      <c r="CT427" s="48"/>
      <c r="CU427" s="48"/>
      <c r="CV427" s="48"/>
      <c r="CW427" s="48"/>
      <c r="CX427" s="46"/>
      <c r="CY427" s="46"/>
      <c r="CZ427" s="48"/>
      <c r="DA427" s="48"/>
      <c r="DB427" s="48"/>
      <c r="DC427" s="48"/>
      <c r="DD427" s="46"/>
      <c r="DE427" s="46"/>
      <c r="DF427" s="48"/>
      <c r="DG427" s="48"/>
      <c r="DH427" s="48"/>
      <c r="DI427" s="49"/>
      <c r="DJ427" s="50"/>
      <c r="DK427" s="50">
        <f t="shared" si="625"/>
        <v>0</v>
      </c>
      <c r="DR427" s="49"/>
      <c r="DS427" s="49"/>
      <c r="DT427" s="49"/>
      <c r="DU427" s="49"/>
      <c r="DV427" s="49"/>
      <c r="DW427" s="49"/>
      <c r="DX427" s="49"/>
      <c r="DY427" s="49"/>
      <c r="DZ427" s="49"/>
      <c r="EA427" s="49"/>
      <c r="EB427" s="49"/>
      <c r="EC427" s="49"/>
      <c r="ED427" s="49"/>
      <c r="EE427" s="49"/>
      <c r="EF427" s="49"/>
      <c r="EG427" s="49"/>
    </row>
    <row r="428" spans="24:138" s="37" customFormat="1" hidden="1">
      <c r="X428" s="74"/>
      <c r="AB428" s="75"/>
      <c r="AJ428" s="81"/>
      <c r="AR428" s="81"/>
      <c r="AZ428" s="81"/>
      <c r="BG428" s="81"/>
      <c r="BN428" s="81"/>
      <c r="BV428" s="81"/>
      <c r="CC428" s="98"/>
      <c r="CD428" s="36"/>
      <c r="CE428" s="46"/>
      <c r="CF428" s="46"/>
      <c r="CG428" s="46"/>
      <c r="CH428" s="47"/>
      <c r="CI428" s="47"/>
      <c r="CJ428" s="47"/>
      <c r="CK428" s="46"/>
      <c r="CL428" s="46"/>
      <c r="CM428" s="46"/>
      <c r="CN428" s="46"/>
      <c r="CO428" s="46"/>
      <c r="CP428" s="46"/>
      <c r="CQ428" s="48"/>
      <c r="CR428" s="46"/>
      <c r="CS428" s="46"/>
      <c r="CT428" s="48"/>
      <c r="CU428" s="48"/>
      <c r="CV428" s="48"/>
      <c r="CW428" s="48"/>
      <c r="CX428" s="46"/>
      <c r="CY428" s="46"/>
      <c r="CZ428" s="48"/>
      <c r="DA428" s="48"/>
      <c r="DB428" s="48"/>
      <c r="DC428" s="48"/>
      <c r="DD428" s="46"/>
      <c r="DE428" s="46"/>
      <c r="DF428" s="48"/>
      <c r="DG428" s="48"/>
      <c r="DH428" s="48"/>
      <c r="DI428" s="49"/>
      <c r="DJ428" s="50"/>
      <c r="DK428" s="50">
        <f t="shared" si="625"/>
        <v>0</v>
      </c>
      <c r="DR428" s="49"/>
      <c r="DS428" s="113"/>
      <c r="DT428" s="113"/>
      <c r="DU428" s="49"/>
      <c r="DV428" s="49"/>
      <c r="DW428" s="49"/>
      <c r="DX428" s="49"/>
      <c r="DY428" s="113"/>
      <c r="DZ428" s="113"/>
      <c r="EA428" s="49"/>
      <c r="EB428" s="49"/>
      <c r="EC428" s="49"/>
      <c r="ED428" s="49"/>
      <c r="EE428" s="49"/>
      <c r="EF428" s="49"/>
      <c r="EH428" s="49"/>
    </row>
    <row r="429" spans="24:138" s="37" customFormat="1" ht="14.65" hidden="1" thickBot="1">
      <c r="X429" s="74"/>
      <c r="AB429" s="75"/>
      <c r="AJ429" s="81"/>
      <c r="AR429" s="81"/>
      <c r="AZ429" s="81"/>
      <c r="BG429" s="81"/>
      <c r="BN429" s="81"/>
      <c r="BV429" s="81"/>
      <c r="CC429" s="98"/>
      <c r="CD429" s="36"/>
      <c r="CE429" s="46"/>
      <c r="CF429" s="46"/>
      <c r="CG429" s="46"/>
      <c r="CH429" s="47"/>
      <c r="CI429" s="47"/>
      <c r="CJ429" s="47"/>
      <c r="CK429" s="46"/>
      <c r="CL429" s="46"/>
      <c r="CM429" s="46"/>
      <c r="CN429" s="46"/>
      <c r="CO429" s="46"/>
      <c r="CP429" s="46"/>
      <c r="CQ429" s="46"/>
      <c r="CR429" s="46"/>
      <c r="CS429" s="46"/>
      <c r="CT429" s="46"/>
      <c r="CU429" s="46"/>
      <c r="CV429" s="46"/>
      <c r="CW429" s="48"/>
      <c r="CX429" s="46"/>
      <c r="CY429" s="46"/>
      <c r="CZ429" s="48"/>
      <c r="DA429" s="48"/>
      <c r="DB429" s="48"/>
      <c r="DC429" s="48"/>
      <c r="DD429" s="46"/>
      <c r="DE429" s="46"/>
      <c r="DF429" s="48"/>
      <c r="DG429" s="48"/>
      <c r="DH429" s="48"/>
      <c r="DI429" s="49"/>
      <c r="DJ429" s="50"/>
      <c r="DK429" s="50">
        <f t="shared" si="625"/>
        <v>0</v>
      </c>
      <c r="DR429" s="49"/>
      <c r="DS429" s="113"/>
      <c r="DT429" s="113"/>
      <c r="DU429" s="49"/>
      <c r="DV429" s="49"/>
      <c r="DW429" s="49"/>
      <c r="DX429" s="49"/>
      <c r="DY429" s="113"/>
      <c r="DZ429" s="113"/>
      <c r="EA429" s="49"/>
      <c r="EB429" s="49"/>
      <c r="EC429" s="49"/>
      <c r="ED429" s="49"/>
    </row>
    <row r="430" spans="24:138" s="37" customFormat="1" ht="14.65" hidden="1" thickBot="1">
      <c r="X430" s="74"/>
      <c r="AB430" s="75"/>
      <c r="AJ430" s="81"/>
      <c r="AR430" s="81"/>
      <c r="AZ430" s="81"/>
      <c r="BG430" s="81"/>
      <c r="BN430" s="81"/>
      <c r="BV430" s="81"/>
      <c r="CC430" s="98"/>
      <c r="CD430" s="179"/>
      <c r="CE430" s="179" t="s">
        <v>734</v>
      </c>
      <c r="CF430" s="179" t="s">
        <v>735</v>
      </c>
      <c r="CG430" s="179" t="s">
        <v>736</v>
      </c>
      <c r="CH430" s="47"/>
      <c r="CI430" s="47"/>
      <c r="CJ430" s="47"/>
      <c r="CK430" s="46"/>
      <c r="CL430" s="46"/>
      <c r="CM430" s="46"/>
      <c r="CN430" s="46"/>
      <c r="CO430" s="46"/>
      <c r="CP430" s="46"/>
      <c r="CQ430" s="46"/>
      <c r="CR430" s="46"/>
      <c r="CS430" s="46"/>
      <c r="CT430" s="46"/>
      <c r="CU430" s="46"/>
      <c r="CV430" s="46"/>
      <c r="CW430" s="48"/>
      <c r="CX430" s="46"/>
      <c r="CY430" s="46"/>
      <c r="CZ430" s="48"/>
      <c r="DA430" s="48"/>
      <c r="DB430" s="48"/>
      <c r="DC430" s="48"/>
      <c r="DD430" s="46"/>
      <c r="DE430" s="46"/>
      <c r="DF430" s="48"/>
      <c r="DG430" s="48"/>
      <c r="DH430" s="48"/>
      <c r="DI430" s="49"/>
      <c r="DJ430" s="181"/>
      <c r="DK430" s="50">
        <f t="shared" si="625"/>
        <v>0</v>
      </c>
    </row>
    <row r="431" spans="24:138" s="37" customFormat="1" ht="14.65" hidden="1" thickBot="1">
      <c r="X431" s="74"/>
      <c r="AB431" s="75"/>
      <c r="AJ431" s="81"/>
      <c r="AR431" s="81"/>
      <c r="AZ431" s="81"/>
      <c r="BG431" s="81"/>
      <c r="BN431" s="81"/>
      <c r="BV431" s="81"/>
      <c r="CC431" s="98"/>
      <c r="CD431" s="179" t="s">
        <v>737</v>
      </c>
      <c r="CE431" s="179" t="s">
        <v>738</v>
      </c>
      <c r="CF431" s="179" t="s">
        <v>738</v>
      </c>
      <c r="CG431" s="179" t="s">
        <v>738</v>
      </c>
      <c r="CH431" s="47"/>
      <c r="CI431" s="47"/>
      <c r="CJ431" s="47"/>
      <c r="CK431" s="46"/>
      <c r="CL431" s="46"/>
      <c r="CM431" s="46"/>
      <c r="CN431" s="46"/>
      <c r="CO431" s="46"/>
      <c r="CP431" s="46"/>
      <c r="CQ431" s="46"/>
      <c r="CR431" s="46"/>
      <c r="CS431" s="46"/>
      <c r="CT431" s="46"/>
      <c r="CU431" s="46"/>
      <c r="CV431" s="46"/>
      <c r="CW431" s="48"/>
      <c r="CX431" s="46"/>
      <c r="CY431" s="46"/>
      <c r="CZ431" s="48"/>
      <c r="DA431" s="48"/>
      <c r="DB431" s="48"/>
      <c r="DC431" s="48"/>
      <c r="DD431" s="46"/>
      <c r="DE431" s="46"/>
      <c r="DF431" s="48"/>
      <c r="DG431" s="48"/>
      <c r="DH431" s="48"/>
      <c r="DI431" s="49"/>
      <c r="DJ431" s="50"/>
      <c r="DK431" s="50">
        <f t="shared" si="625"/>
        <v>0</v>
      </c>
    </row>
    <row r="432" spans="24:138" s="37" customFormat="1" ht="14.65" hidden="1" thickBot="1">
      <c r="X432" s="74"/>
      <c r="AB432" s="75"/>
      <c r="AJ432" s="81"/>
      <c r="AR432" s="81"/>
      <c r="AZ432" s="81"/>
      <c r="BG432" s="81"/>
      <c r="BN432" s="81"/>
      <c r="BV432" s="81"/>
      <c r="CC432" s="98"/>
      <c r="CD432" s="99" t="s">
        <v>739</v>
      </c>
      <c r="CE432" s="99">
        <v>1</v>
      </c>
      <c r="CF432" s="99">
        <v>1</v>
      </c>
      <c r="CG432" s="99">
        <v>1</v>
      </c>
      <c r="CH432" s="47"/>
      <c r="CI432" s="47"/>
      <c r="CJ432" s="47"/>
      <c r="CK432" s="46"/>
      <c r="CL432" s="46"/>
      <c r="CM432" s="46"/>
      <c r="CN432" s="46"/>
      <c r="CO432" s="46"/>
      <c r="CP432" s="46"/>
      <c r="CQ432" s="46"/>
      <c r="CR432" s="46"/>
      <c r="CS432" s="46"/>
      <c r="CT432" s="46"/>
      <c r="CU432" s="46"/>
      <c r="CV432" s="46"/>
      <c r="CW432" s="48"/>
      <c r="CX432" s="46"/>
      <c r="CY432" s="46"/>
      <c r="CZ432" s="48"/>
      <c r="DA432" s="48"/>
      <c r="DB432" s="48"/>
      <c r="DC432" s="48"/>
      <c r="DD432" s="46"/>
      <c r="DE432" s="46"/>
      <c r="DF432" s="48"/>
      <c r="DG432" s="48"/>
      <c r="DH432" s="48"/>
      <c r="DI432" s="49"/>
      <c r="DJ432" s="50"/>
      <c r="DK432" s="50">
        <f t="shared" si="625"/>
        <v>0</v>
      </c>
    </row>
    <row r="433" spans="1:115" s="37" customFormat="1" ht="14.65" hidden="1" thickBot="1">
      <c r="X433" s="74"/>
      <c r="AB433" s="75"/>
      <c r="AJ433" s="81"/>
      <c r="AR433" s="81"/>
      <c r="AZ433" s="81"/>
      <c r="BG433" s="81"/>
      <c r="BN433" s="81"/>
      <c r="BV433" s="81"/>
      <c r="CC433" s="98"/>
      <c r="CD433" s="99" t="s">
        <v>590</v>
      </c>
      <c r="CE433" s="99">
        <v>28</v>
      </c>
      <c r="CF433" s="99">
        <v>25</v>
      </c>
      <c r="CG433" s="99">
        <v>21</v>
      </c>
      <c r="CH433" s="47"/>
      <c r="CI433" s="47"/>
      <c r="CJ433" s="47"/>
      <c r="CK433" s="46"/>
      <c r="CL433" s="46"/>
      <c r="CM433" s="46"/>
      <c r="CN433" s="46"/>
      <c r="CO433" s="46"/>
      <c r="CP433" s="46"/>
      <c r="CQ433" s="46"/>
      <c r="CR433" s="46"/>
      <c r="CS433" s="46"/>
      <c r="CT433" s="46"/>
      <c r="CU433" s="46"/>
      <c r="CV433" s="46"/>
      <c r="CW433" s="48"/>
      <c r="CX433" s="46"/>
      <c r="CY433" s="46"/>
      <c r="CZ433" s="48"/>
      <c r="DA433" s="48"/>
      <c r="DB433" s="48"/>
      <c r="DC433" s="48"/>
      <c r="DD433" s="46"/>
      <c r="DE433" s="46"/>
      <c r="DF433" s="48"/>
      <c r="DG433" s="48"/>
      <c r="DH433" s="48"/>
      <c r="DI433" s="49"/>
      <c r="DJ433" s="50"/>
      <c r="DK433" s="50">
        <f t="shared" si="625"/>
        <v>0</v>
      </c>
    </row>
    <row r="434" spans="1:115" s="37" customFormat="1" ht="14.65" hidden="1" thickBot="1">
      <c r="X434" s="74"/>
      <c r="AB434" s="75"/>
      <c r="AJ434" s="81"/>
      <c r="AR434" s="81"/>
      <c r="AZ434" s="81"/>
      <c r="BG434" s="81"/>
      <c r="BN434" s="81"/>
      <c r="BV434" s="81"/>
      <c r="CC434" s="98"/>
      <c r="CD434" s="99" t="s">
        <v>591</v>
      </c>
      <c r="CE434" s="99">
        <v>265</v>
      </c>
      <c r="CF434" s="99">
        <v>298</v>
      </c>
      <c r="CG434" s="99">
        <v>310</v>
      </c>
      <c r="CH434" s="47"/>
      <c r="CI434" s="47"/>
      <c r="CJ434" s="47"/>
      <c r="CK434" s="46"/>
      <c r="CL434" s="46"/>
      <c r="CM434" s="46"/>
      <c r="CN434" s="46"/>
      <c r="CO434" s="46"/>
      <c r="CP434" s="46"/>
      <c r="CQ434" s="46"/>
      <c r="CR434" s="46"/>
      <c r="CS434" s="46"/>
      <c r="CT434" s="46"/>
      <c r="CU434" s="46"/>
      <c r="CV434" s="46"/>
      <c r="CW434" s="48"/>
      <c r="CX434" s="46"/>
      <c r="CY434" s="46"/>
      <c r="CZ434" s="48"/>
      <c r="DA434" s="48"/>
      <c r="DB434" s="48"/>
      <c r="DC434" s="48"/>
      <c r="DD434" s="46"/>
      <c r="DE434" s="46"/>
      <c r="DF434" s="48"/>
      <c r="DG434" s="48"/>
      <c r="DH434" s="48"/>
      <c r="DI434" s="49"/>
      <c r="DJ434" s="50"/>
      <c r="DK434" s="50">
        <f t="shared" si="625"/>
        <v>0</v>
      </c>
    </row>
    <row r="435" spans="1:115" s="37" customFormat="1" ht="14.65" hidden="1" thickBot="1">
      <c r="X435" s="74"/>
      <c r="AB435" s="75"/>
      <c r="AJ435" s="81"/>
      <c r="AR435" s="81"/>
      <c r="AZ435" s="81"/>
      <c r="BG435" s="81"/>
      <c r="BN435" s="81"/>
      <c r="BV435" s="81"/>
      <c r="CC435" s="98"/>
      <c r="CD435" s="99" t="s">
        <v>390</v>
      </c>
      <c r="CE435" s="99">
        <v>23500</v>
      </c>
      <c r="CF435" s="99">
        <v>22800</v>
      </c>
      <c r="CG435" s="99" t="s">
        <v>740</v>
      </c>
      <c r="CH435" s="47"/>
      <c r="CI435" s="47"/>
      <c r="CJ435" s="47"/>
      <c r="CK435" s="46"/>
      <c r="CL435" s="46"/>
      <c r="CM435" s="46"/>
      <c r="CN435" s="46"/>
      <c r="CO435" s="46"/>
      <c r="CP435" s="46"/>
      <c r="CQ435" s="46"/>
      <c r="CR435" s="46"/>
      <c r="CS435" s="46"/>
      <c r="CT435" s="46"/>
      <c r="CU435" s="46"/>
      <c r="CV435" s="46"/>
      <c r="CW435" s="48"/>
      <c r="CX435" s="46"/>
      <c r="CY435" s="46"/>
      <c r="CZ435" s="48"/>
      <c r="DA435" s="48"/>
      <c r="DB435" s="48"/>
      <c r="DC435" s="48"/>
      <c r="DD435" s="46"/>
      <c r="DE435" s="46"/>
      <c r="DF435" s="48"/>
      <c r="DG435" s="48"/>
      <c r="DH435" s="48"/>
      <c r="DI435" s="49"/>
      <c r="DJ435" s="50"/>
      <c r="DK435" s="50">
        <f t="shared" si="625"/>
        <v>0</v>
      </c>
    </row>
    <row r="436" spans="1:115" s="37" customFormat="1" ht="14.65" hidden="1" thickBot="1">
      <c r="X436" s="74"/>
      <c r="AB436" s="75"/>
      <c r="AJ436" s="81"/>
      <c r="AR436" s="81"/>
      <c r="AZ436" s="81"/>
      <c r="BG436" s="81"/>
      <c r="BN436" s="81"/>
      <c r="BV436" s="81"/>
      <c r="CC436" s="98"/>
      <c r="CD436" s="99" t="s">
        <v>741</v>
      </c>
      <c r="CE436" s="99">
        <v>16100</v>
      </c>
      <c r="CF436" s="99">
        <v>17200</v>
      </c>
      <c r="CG436" s="99" t="s">
        <v>740</v>
      </c>
      <c r="CH436" s="47"/>
      <c r="CI436" s="47"/>
      <c r="CJ436" s="47"/>
      <c r="CK436" s="46"/>
      <c r="CL436" s="46"/>
      <c r="CM436" s="46"/>
      <c r="CN436" s="46"/>
      <c r="CO436" s="46"/>
      <c r="CP436" s="46"/>
      <c r="CQ436" s="46"/>
      <c r="CR436" s="46"/>
      <c r="CS436" s="46"/>
      <c r="CT436" s="46"/>
      <c r="CU436" s="46"/>
      <c r="CV436" s="46"/>
      <c r="CW436" s="48"/>
      <c r="CX436" s="46"/>
      <c r="CY436" s="46"/>
      <c r="CZ436" s="48"/>
      <c r="DA436" s="48"/>
      <c r="DB436" s="48"/>
      <c r="DC436" s="48"/>
      <c r="DD436" s="46"/>
      <c r="DE436" s="46"/>
      <c r="DF436" s="48"/>
      <c r="DG436" s="48"/>
      <c r="DH436" s="48"/>
      <c r="DI436" s="49"/>
      <c r="DJ436" s="50"/>
      <c r="DK436" s="50">
        <f t="shared" si="625"/>
        <v>0</v>
      </c>
    </row>
    <row r="437" spans="1:115" s="37" customFormat="1" ht="14.65" hidden="1" thickBot="1">
      <c r="X437" s="74"/>
      <c r="AB437" s="75"/>
      <c r="AJ437" s="81"/>
      <c r="AR437" s="81"/>
      <c r="AZ437" s="81"/>
      <c r="BG437" s="81"/>
      <c r="BN437" s="81"/>
      <c r="BV437" s="81"/>
      <c r="CC437" s="98"/>
      <c r="CD437" s="99"/>
      <c r="CE437" s="99"/>
      <c r="CF437" s="99"/>
      <c r="CG437" s="99"/>
      <c r="CH437" s="47"/>
      <c r="CI437" s="47"/>
      <c r="CJ437" s="47"/>
      <c r="CK437" s="46"/>
      <c r="CL437" s="46"/>
      <c r="CM437" s="46"/>
      <c r="CN437" s="46"/>
      <c r="CO437" s="46"/>
      <c r="CP437" s="46"/>
      <c r="CQ437" s="46"/>
      <c r="CR437" s="46"/>
      <c r="CS437" s="46"/>
      <c r="CT437" s="46"/>
      <c r="CU437" s="46"/>
      <c r="CV437" s="46"/>
      <c r="CW437" s="48"/>
      <c r="CX437" s="46"/>
      <c r="CY437" s="46"/>
      <c r="CZ437" s="48"/>
      <c r="DA437" s="48"/>
      <c r="DB437" s="48"/>
      <c r="DC437" s="48"/>
      <c r="DD437" s="46"/>
      <c r="DE437" s="46"/>
      <c r="DF437" s="48"/>
      <c r="DG437" s="48"/>
      <c r="DH437" s="48"/>
      <c r="DI437" s="49"/>
      <c r="DJ437" s="182"/>
      <c r="DK437" s="50">
        <f t="shared" si="625"/>
        <v>0</v>
      </c>
    </row>
    <row r="438" spans="1:115" s="37" customFormat="1" ht="14.65" hidden="1" thickBot="1">
      <c r="A438" s="24"/>
      <c r="X438" s="74"/>
      <c r="AB438" s="75"/>
      <c r="AD438" s="78"/>
      <c r="AE438" s="78"/>
      <c r="AG438" s="78"/>
      <c r="AH438" s="80"/>
      <c r="AJ438" s="81"/>
      <c r="AL438" s="85"/>
      <c r="AM438" s="85"/>
      <c r="AO438" s="78"/>
      <c r="AR438" s="81"/>
      <c r="AW438" s="78"/>
      <c r="AZ438" s="81"/>
      <c r="BB438" s="78"/>
      <c r="BD438" s="78"/>
      <c r="BG438" s="81"/>
      <c r="BI438" s="78"/>
      <c r="BK438" s="78"/>
      <c r="BN438" s="81"/>
      <c r="BP438" s="78"/>
      <c r="BQ438" s="78"/>
      <c r="BS438" s="78"/>
      <c r="BV438" s="81"/>
      <c r="BX438" s="78"/>
      <c r="BZ438" s="78"/>
      <c r="CC438" s="45"/>
      <c r="CD438" s="99"/>
      <c r="CE438" s="99"/>
      <c r="CF438" s="99"/>
      <c r="CG438" s="99"/>
      <c r="CH438" s="47"/>
      <c r="CI438" s="47"/>
      <c r="CJ438" s="47"/>
      <c r="CK438" s="46"/>
      <c r="CL438" s="46"/>
      <c r="CM438" s="46"/>
      <c r="CN438" s="46"/>
      <c r="CO438" s="46"/>
      <c r="CP438" s="46"/>
      <c r="CQ438" s="46"/>
      <c r="CR438" s="46"/>
      <c r="CS438" s="46"/>
      <c r="CT438" s="46"/>
      <c r="CU438" s="46"/>
      <c r="CV438" s="46"/>
      <c r="CW438" s="48"/>
      <c r="CX438" s="46"/>
      <c r="CY438" s="46"/>
      <c r="CZ438" s="48"/>
      <c r="DA438" s="48"/>
      <c r="DB438" s="48"/>
      <c r="DC438" s="48"/>
      <c r="DD438" s="46"/>
      <c r="DE438" s="46"/>
      <c r="DF438" s="48"/>
      <c r="DG438" s="48"/>
      <c r="DH438" s="48"/>
      <c r="DI438" s="49"/>
      <c r="DJ438" s="50"/>
      <c r="DK438" s="50">
        <f t="shared" si="625"/>
        <v>0</v>
      </c>
    </row>
    <row r="439" spans="1:115" s="37" customFormat="1" ht="14.65" hidden="1" thickBot="1">
      <c r="A439" s="24"/>
      <c r="X439" s="74"/>
      <c r="AB439" s="75"/>
      <c r="AD439" s="78"/>
      <c r="AE439" s="78"/>
      <c r="AG439" s="78"/>
      <c r="AH439" s="80"/>
      <c r="AJ439" s="81"/>
      <c r="AL439" s="85"/>
      <c r="AM439" s="85"/>
      <c r="AO439" s="78"/>
      <c r="AR439" s="81"/>
      <c r="AW439" s="78"/>
      <c r="AZ439" s="81"/>
      <c r="BB439" s="78"/>
      <c r="BD439" s="78"/>
      <c r="BG439" s="81"/>
      <c r="BI439" s="78"/>
      <c r="BK439" s="78"/>
      <c r="BN439" s="81"/>
      <c r="BP439" s="78"/>
      <c r="BQ439" s="78"/>
      <c r="BS439" s="78"/>
      <c r="BV439" s="81"/>
      <c r="BX439" s="78"/>
      <c r="BZ439" s="78"/>
      <c r="CC439" s="45"/>
      <c r="CD439" s="99"/>
      <c r="CE439" s="99"/>
      <c r="CF439" s="99"/>
      <c r="CG439" s="99"/>
      <c r="CH439" s="47"/>
      <c r="CI439" s="47"/>
      <c r="CJ439" s="47"/>
      <c r="CK439" s="46"/>
      <c r="CL439" s="46"/>
      <c r="CM439" s="46"/>
      <c r="CN439" s="46"/>
      <c r="CO439" s="46"/>
      <c r="CP439" s="46"/>
      <c r="CQ439" s="46"/>
      <c r="CR439" s="46"/>
      <c r="CS439" s="46"/>
      <c r="CT439" s="46"/>
      <c r="CU439" s="46"/>
      <c r="CV439" s="46"/>
      <c r="CW439" s="48"/>
      <c r="CX439" s="46"/>
      <c r="CY439" s="46"/>
      <c r="CZ439" s="48"/>
      <c r="DA439" s="48"/>
      <c r="DB439" s="48"/>
      <c r="DC439" s="48"/>
      <c r="DD439" s="46"/>
      <c r="DE439" s="46"/>
      <c r="DF439" s="48"/>
      <c r="DG439" s="48"/>
      <c r="DH439" s="48"/>
      <c r="DI439" s="49"/>
      <c r="DJ439" s="50"/>
      <c r="DK439" s="50">
        <f t="shared" si="625"/>
        <v>0</v>
      </c>
    </row>
    <row r="440" spans="1:115" s="37" customFormat="1" hidden="1">
      <c r="A440" s="24"/>
      <c r="X440" s="74"/>
      <c r="AB440" s="75"/>
      <c r="AD440" s="78"/>
      <c r="AE440" s="78"/>
      <c r="AG440" s="78"/>
      <c r="AH440" s="80"/>
      <c r="AJ440" s="81"/>
      <c r="AL440" s="85"/>
      <c r="AM440" s="85"/>
      <c r="AO440" s="78"/>
      <c r="AR440" s="81"/>
      <c r="AW440" s="78"/>
      <c r="AZ440" s="81"/>
      <c r="BB440" s="78"/>
      <c r="BD440" s="78"/>
      <c r="BG440" s="81"/>
      <c r="BI440" s="78"/>
      <c r="BK440" s="78"/>
      <c r="BN440" s="81"/>
      <c r="BP440" s="78"/>
      <c r="BQ440" s="78"/>
      <c r="BS440" s="78"/>
      <c r="BV440" s="81"/>
      <c r="BX440" s="78"/>
      <c r="BZ440" s="78"/>
      <c r="CC440" s="45"/>
      <c r="CD440" s="36"/>
      <c r="CE440" s="46"/>
      <c r="CF440" s="46"/>
      <c r="CG440" s="46"/>
      <c r="CH440" s="47"/>
      <c r="CI440" s="47"/>
      <c r="CJ440" s="47"/>
      <c r="CK440" s="46"/>
      <c r="CL440" s="46"/>
      <c r="CM440" s="46"/>
      <c r="CN440" s="46"/>
      <c r="CO440" s="46"/>
      <c r="CP440" s="46"/>
      <c r="CQ440" s="46"/>
      <c r="CR440" s="46"/>
      <c r="CS440" s="46"/>
      <c r="CT440" s="46"/>
      <c r="CU440" s="46"/>
      <c r="CV440" s="46"/>
      <c r="CW440" s="48"/>
      <c r="CX440" s="46"/>
      <c r="CY440" s="46"/>
      <c r="CZ440" s="48"/>
      <c r="DA440" s="48"/>
      <c r="DB440" s="48"/>
      <c r="DC440" s="48"/>
      <c r="DD440" s="46"/>
      <c r="DE440" s="46"/>
      <c r="DF440" s="48"/>
      <c r="DG440" s="48"/>
      <c r="DH440" s="48"/>
      <c r="DI440" s="49"/>
      <c r="DJ440" s="50"/>
      <c r="DK440" s="50">
        <f t="shared" si="625"/>
        <v>0</v>
      </c>
    </row>
    <row r="441" spans="1:115" s="37" customFormat="1" ht="25.5" customHeight="1">
      <c r="A441" s="24"/>
      <c r="X441" s="74"/>
      <c r="AB441" s="75"/>
      <c r="AD441" s="78"/>
      <c r="AE441" s="78"/>
      <c r="AG441" s="78"/>
      <c r="AH441" s="80"/>
      <c r="AJ441" s="81"/>
      <c r="AL441" s="85"/>
      <c r="AM441" s="85"/>
      <c r="AO441" s="78"/>
      <c r="AR441" s="81"/>
      <c r="AW441" s="78"/>
      <c r="AZ441" s="81"/>
      <c r="BB441" s="78"/>
      <c r="BD441" s="78"/>
      <c r="BG441" s="81"/>
      <c r="BI441" s="78"/>
      <c r="BK441" s="78"/>
      <c r="BN441" s="81"/>
      <c r="BP441" s="78"/>
      <c r="BQ441" s="78"/>
      <c r="BS441" s="78"/>
      <c r="BV441" s="81"/>
      <c r="BX441" s="78"/>
      <c r="BZ441" s="78"/>
      <c r="CC441" s="45"/>
      <c r="CD441" s="36"/>
      <c r="CE441" s="46"/>
      <c r="CF441" s="46"/>
      <c r="CG441" s="46"/>
      <c r="CH441" s="47"/>
      <c r="CI441" s="47"/>
      <c r="CJ441" s="47"/>
      <c r="CK441" s="46"/>
      <c r="CL441" s="46"/>
      <c r="CM441" s="46"/>
      <c r="CN441" s="46"/>
      <c r="CO441" s="46"/>
      <c r="CP441" s="46"/>
      <c r="CQ441" s="46"/>
      <c r="CR441" s="46"/>
      <c r="CS441" s="46"/>
      <c r="CT441" s="46"/>
      <c r="CU441" s="46"/>
      <c r="CV441" s="46"/>
      <c r="CW441" s="48"/>
      <c r="CX441" s="46"/>
      <c r="CY441" s="46"/>
      <c r="CZ441" s="48"/>
      <c r="DA441" s="48"/>
      <c r="DB441" s="48"/>
      <c r="DC441" s="48"/>
      <c r="DD441" s="46"/>
      <c r="DE441" s="46"/>
      <c r="DF441" s="48"/>
      <c r="DG441" s="48"/>
      <c r="DH441" s="48"/>
      <c r="DI441" s="49"/>
      <c r="DJ441" s="50"/>
      <c r="DK441" s="50">
        <f t="shared" si="625"/>
        <v>0</v>
      </c>
    </row>
    <row r="442" spans="1:115" s="37" customFormat="1">
      <c r="A442" s="24"/>
      <c r="X442" s="74"/>
      <c r="AB442" s="75"/>
      <c r="AD442" s="78"/>
      <c r="AE442" s="78"/>
      <c r="AG442" s="78"/>
      <c r="AH442" s="80"/>
      <c r="AJ442" s="81"/>
      <c r="AL442" s="85"/>
      <c r="AM442" s="85"/>
      <c r="AO442" s="78"/>
      <c r="AR442" s="81"/>
      <c r="AW442" s="78"/>
      <c r="AZ442" s="81"/>
      <c r="BB442" s="78"/>
      <c r="BD442" s="78"/>
      <c r="BG442" s="81"/>
      <c r="BI442" s="78"/>
      <c r="BK442" s="78"/>
      <c r="BN442" s="81"/>
      <c r="BP442" s="78"/>
      <c r="BQ442" s="78"/>
      <c r="BS442" s="78"/>
      <c r="BV442" s="81"/>
      <c r="BX442" s="78"/>
      <c r="BZ442" s="78"/>
      <c r="CC442" s="45"/>
      <c r="CD442" s="36"/>
      <c r="CE442" s="46"/>
      <c r="CF442" s="46"/>
      <c r="CG442" s="46"/>
      <c r="CH442" s="47"/>
      <c r="CI442" s="47"/>
      <c r="CJ442" s="47"/>
      <c r="CK442" s="46"/>
      <c r="CL442" s="46"/>
      <c r="CM442" s="46"/>
      <c r="CN442" s="46"/>
      <c r="CO442" s="46"/>
      <c r="CP442" s="46"/>
      <c r="CQ442" s="46"/>
      <c r="CR442" s="46"/>
      <c r="CS442" s="46"/>
      <c r="CT442" s="46"/>
      <c r="CU442" s="46"/>
      <c r="CV442" s="46"/>
      <c r="CW442" s="48"/>
      <c r="CX442" s="46"/>
      <c r="CY442" s="46"/>
      <c r="CZ442" s="48"/>
      <c r="DA442" s="48"/>
      <c r="DB442" s="48"/>
      <c r="DC442" s="48"/>
      <c r="DD442" s="46"/>
      <c r="DE442" s="46"/>
      <c r="DF442" s="48"/>
      <c r="DG442" s="48"/>
      <c r="DH442" s="48"/>
      <c r="DI442" s="49"/>
      <c r="DJ442" s="50"/>
      <c r="DK442" s="50">
        <f t="shared" si="625"/>
        <v>0</v>
      </c>
    </row>
    <row r="443" spans="1:115" s="37" customFormat="1">
      <c r="A443" s="24"/>
      <c r="X443" s="74"/>
      <c r="AB443" s="75"/>
      <c r="AD443" s="78"/>
      <c r="AE443" s="78"/>
      <c r="AG443" s="78"/>
      <c r="AH443" s="80"/>
      <c r="AJ443" s="81"/>
      <c r="AL443" s="85"/>
      <c r="AM443" s="85"/>
      <c r="AO443" s="78"/>
      <c r="AR443" s="81"/>
      <c r="AW443" s="78"/>
      <c r="AZ443" s="81"/>
      <c r="BB443" s="78"/>
      <c r="BD443" s="78"/>
      <c r="BG443" s="81"/>
      <c r="BI443" s="78"/>
      <c r="BK443" s="78"/>
      <c r="BN443" s="81"/>
      <c r="BP443" s="78"/>
      <c r="BQ443" s="78"/>
      <c r="BS443" s="78"/>
      <c r="BV443" s="81"/>
      <c r="BX443" s="78"/>
      <c r="BZ443" s="78"/>
      <c r="CC443" s="45"/>
      <c r="CD443" s="36"/>
      <c r="CE443" s="46"/>
      <c r="CF443" s="46"/>
      <c r="CG443" s="46"/>
      <c r="CH443" s="47"/>
      <c r="CI443" s="47"/>
      <c r="CJ443" s="47"/>
      <c r="CK443" s="46"/>
      <c r="CL443" s="46"/>
      <c r="CM443" s="46"/>
      <c r="CN443" s="46"/>
      <c r="CO443" s="46"/>
      <c r="CP443" s="46"/>
      <c r="CQ443" s="46"/>
      <c r="CR443" s="46"/>
      <c r="CS443" s="46"/>
      <c r="CT443" s="46"/>
      <c r="CU443" s="46"/>
      <c r="CV443" s="46"/>
      <c r="CW443" s="48"/>
      <c r="CX443" s="46"/>
      <c r="CY443" s="46"/>
      <c r="CZ443" s="48"/>
      <c r="DA443" s="48"/>
      <c r="DB443" s="48"/>
      <c r="DC443" s="48"/>
      <c r="DD443" s="46"/>
      <c r="DE443" s="46"/>
      <c r="DF443" s="48"/>
      <c r="DG443" s="48"/>
      <c r="DH443" s="48"/>
      <c r="DI443" s="49"/>
      <c r="DJ443" s="50"/>
      <c r="DK443" s="50">
        <f t="shared" si="625"/>
        <v>0</v>
      </c>
    </row>
    <row r="444" spans="1:115" s="37" customFormat="1">
      <c r="A444" s="24"/>
      <c r="X444" s="74"/>
      <c r="AB444" s="75"/>
      <c r="AD444" s="78"/>
      <c r="AE444" s="78"/>
      <c r="AG444" s="78"/>
      <c r="AH444" s="80"/>
      <c r="AJ444" s="81"/>
      <c r="AL444" s="85"/>
      <c r="AM444" s="85"/>
      <c r="AO444" s="78"/>
      <c r="AR444" s="81"/>
      <c r="AW444" s="78"/>
      <c r="AZ444" s="81"/>
      <c r="BB444" s="78"/>
      <c r="BD444" s="78"/>
      <c r="BG444" s="81"/>
      <c r="BI444" s="78"/>
      <c r="BK444" s="78"/>
      <c r="BN444" s="81"/>
      <c r="BP444" s="78"/>
      <c r="BQ444" s="78"/>
      <c r="BS444" s="78"/>
      <c r="BV444" s="81"/>
      <c r="BX444" s="78"/>
      <c r="BZ444" s="78"/>
      <c r="CC444" s="45"/>
      <c r="CD444" s="36"/>
      <c r="CE444" s="46"/>
      <c r="CF444" s="46"/>
      <c r="CG444" s="46"/>
      <c r="CH444" s="47"/>
      <c r="CI444" s="47"/>
      <c r="CJ444" s="47"/>
      <c r="CK444" s="46"/>
      <c r="CL444" s="46"/>
      <c r="CM444" s="46"/>
      <c r="CN444" s="46"/>
      <c r="CO444" s="46"/>
      <c r="CP444" s="46"/>
      <c r="CQ444" s="46"/>
      <c r="CR444" s="46"/>
      <c r="CS444" s="46"/>
      <c r="CT444" s="46"/>
      <c r="CU444" s="46"/>
      <c r="CV444" s="46"/>
      <c r="CW444" s="48"/>
      <c r="CX444" s="46"/>
      <c r="CY444" s="46"/>
      <c r="CZ444" s="48"/>
      <c r="DA444" s="48"/>
      <c r="DB444" s="48"/>
      <c r="DC444" s="48"/>
      <c r="DD444" s="46"/>
      <c r="DE444" s="46"/>
      <c r="DF444" s="48"/>
      <c r="DG444" s="48"/>
      <c r="DH444" s="48"/>
      <c r="DI444" s="49"/>
      <c r="DJ444" s="50"/>
      <c r="DK444" s="50">
        <f t="shared" si="625"/>
        <v>0</v>
      </c>
    </row>
    <row r="445" spans="1:115" s="37" customFormat="1">
      <c r="A445" s="24"/>
      <c r="X445" s="74"/>
      <c r="AB445" s="75"/>
      <c r="AD445" s="78"/>
      <c r="AE445" s="78"/>
      <c r="AG445" s="78"/>
      <c r="AH445" s="80"/>
      <c r="AJ445" s="81"/>
      <c r="AL445" s="85"/>
      <c r="AM445" s="85"/>
      <c r="AO445" s="78"/>
      <c r="AR445" s="81"/>
      <c r="AW445" s="78"/>
      <c r="AZ445" s="81"/>
      <c r="BB445" s="78"/>
      <c r="BD445" s="78"/>
      <c r="BG445" s="81"/>
      <c r="BI445" s="78"/>
      <c r="BK445" s="78"/>
      <c r="BN445" s="81"/>
      <c r="BP445" s="78"/>
      <c r="BQ445" s="78"/>
      <c r="BS445" s="78"/>
      <c r="BV445" s="81"/>
      <c r="BX445" s="78"/>
      <c r="BZ445" s="78"/>
      <c r="CC445" s="45"/>
      <c r="CD445" s="36"/>
      <c r="CE445" s="46"/>
      <c r="CF445" s="46"/>
      <c r="CG445" s="46"/>
      <c r="CH445" s="47"/>
      <c r="CI445" s="47"/>
      <c r="CJ445" s="47"/>
      <c r="CK445" s="46"/>
      <c r="CL445" s="46"/>
      <c r="CM445" s="46"/>
      <c r="CN445" s="46"/>
      <c r="CO445" s="46"/>
      <c r="CP445" s="46"/>
      <c r="CQ445" s="46"/>
      <c r="CR445" s="46"/>
      <c r="CS445" s="46"/>
      <c r="CT445" s="46"/>
      <c r="CU445" s="46"/>
      <c r="CV445" s="46"/>
      <c r="CW445" s="48"/>
      <c r="CX445" s="46"/>
      <c r="CY445" s="46"/>
      <c r="CZ445" s="48"/>
      <c r="DA445" s="48"/>
      <c r="DB445" s="48"/>
      <c r="DC445" s="48"/>
      <c r="DD445" s="46"/>
      <c r="DE445" s="46"/>
      <c r="DF445" s="48"/>
      <c r="DG445" s="48"/>
      <c r="DH445" s="48"/>
      <c r="DI445" s="49"/>
      <c r="DJ445" s="50"/>
      <c r="DK445" s="50">
        <f t="shared" si="625"/>
        <v>0</v>
      </c>
    </row>
    <row r="446" spans="1:115" s="37" customFormat="1">
      <c r="A446" s="24"/>
      <c r="X446" s="74"/>
      <c r="AB446" s="75"/>
      <c r="AD446" s="78"/>
      <c r="AE446" s="78"/>
      <c r="AG446" s="78"/>
      <c r="AH446" s="80"/>
      <c r="AJ446" s="81"/>
      <c r="AL446" s="85"/>
      <c r="AM446" s="85"/>
      <c r="AO446" s="78"/>
      <c r="AR446" s="81"/>
      <c r="AW446" s="78"/>
      <c r="AZ446" s="81"/>
      <c r="BB446" s="78"/>
      <c r="BD446" s="78"/>
      <c r="BG446" s="81"/>
      <c r="BI446" s="78"/>
      <c r="BK446" s="78"/>
      <c r="BN446" s="81"/>
      <c r="BP446" s="78"/>
      <c r="BQ446" s="78"/>
      <c r="BS446" s="78"/>
      <c r="BV446" s="81"/>
      <c r="BX446" s="78"/>
      <c r="BZ446" s="78"/>
      <c r="CC446" s="45"/>
      <c r="CD446" s="36"/>
      <c r="CE446" s="46"/>
      <c r="CF446" s="46"/>
      <c r="CG446" s="46"/>
      <c r="CH446" s="47"/>
      <c r="CI446" s="47"/>
      <c r="CJ446" s="47"/>
      <c r="CK446" s="46"/>
      <c r="CL446" s="46"/>
      <c r="CM446" s="46"/>
      <c r="CN446" s="46"/>
      <c r="CO446" s="46"/>
      <c r="CP446" s="46"/>
      <c r="CQ446" s="46"/>
      <c r="CR446" s="46"/>
      <c r="CS446" s="46"/>
      <c r="CT446" s="46"/>
      <c r="CU446" s="46"/>
      <c r="CV446" s="46"/>
      <c r="CW446" s="48"/>
      <c r="CX446" s="46"/>
      <c r="CY446" s="46"/>
      <c r="CZ446" s="48"/>
      <c r="DA446" s="48"/>
      <c r="DB446" s="48"/>
      <c r="DC446" s="48"/>
      <c r="DD446" s="46"/>
      <c r="DE446" s="46"/>
      <c r="DF446" s="48"/>
      <c r="DG446" s="48"/>
      <c r="DH446" s="48"/>
      <c r="DI446" s="49"/>
      <c r="DJ446" s="50"/>
      <c r="DK446" s="50">
        <f t="shared" si="625"/>
        <v>0</v>
      </c>
    </row>
    <row r="447" spans="1:115" s="37" customFormat="1">
      <c r="A447" s="24"/>
      <c r="X447" s="74"/>
      <c r="AB447" s="75"/>
      <c r="AD447" s="78"/>
      <c r="AE447" s="78"/>
      <c r="AG447" s="78"/>
      <c r="AH447" s="80"/>
      <c r="AJ447" s="81"/>
      <c r="AL447" s="85"/>
      <c r="AM447" s="85"/>
      <c r="AO447" s="78"/>
      <c r="AR447" s="81"/>
      <c r="AW447" s="78"/>
      <c r="AZ447" s="81"/>
      <c r="BB447" s="78"/>
      <c r="BD447" s="78"/>
      <c r="BG447" s="81"/>
      <c r="BI447" s="78"/>
      <c r="BK447" s="78"/>
      <c r="BN447" s="81"/>
      <c r="BP447" s="78"/>
      <c r="BQ447" s="78"/>
      <c r="BS447" s="78"/>
      <c r="BV447" s="81"/>
      <c r="BX447" s="78"/>
      <c r="BZ447" s="78"/>
      <c r="CC447" s="45"/>
      <c r="CD447" s="36"/>
      <c r="CE447" s="46"/>
      <c r="CF447" s="46"/>
      <c r="CG447" s="46"/>
      <c r="CH447" s="47"/>
      <c r="CI447" s="47"/>
      <c r="CJ447" s="47"/>
      <c r="CK447" s="46"/>
      <c r="CL447" s="46"/>
      <c r="CM447" s="46"/>
      <c r="CN447" s="46"/>
      <c r="CO447" s="46"/>
      <c r="CP447" s="46"/>
      <c r="CQ447" s="46"/>
      <c r="CR447" s="46"/>
      <c r="CS447" s="46"/>
      <c r="CT447" s="46"/>
      <c r="CU447" s="46"/>
      <c r="CV447" s="46"/>
      <c r="CW447" s="48"/>
      <c r="CX447" s="46"/>
      <c r="CY447" s="46"/>
      <c r="CZ447" s="48"/>
      <c r="DA447" s="48"/>
      <c r="DB447" s="48"/>
      <c r="DC447" s="48"/>
      <c r="DD447" s="46"/>
      <c r="DE447" s="46"/>
      <c r="DF447" s="48"/>
      <c r="DG447" s="48"/>
      <c r="DH447" s="48"/>
      <c r="DI447" s="49"/>
      <c r="DJ447" s="50"/>
      <c r="DK447" s="50">
        <f t="shared" si="625"/>
        <v>0</v>
      </c>
    </row>
    <row r="448" spans="1:115" s="37" customFormat="1">
      <c r="A448" s="24"/>
      <c r="X448" s="74"/>
      <c r="AB448" s="75"/>
      <c r="AD448" s="78"/>
      <c r="AE448" s="78"/>
      <c r="AG448" s="78"/>
      <c r="AH448" s="80"/>
      <c r="AJ448" s="81"/>
      <c r="AL448" s="85"/>
      <c r="AM448" s="85"/>
      <c r="AO448" s="78"/>
      <c r="AR448" s="81"/>
      <c r="AW448" s="78"/>
      <c r="AZ448" s="81"/>
      <c r="BB448" s="78"/>
      <c r="BD448" s="78"/>
      <c r="BG448" s="81"/>
      <c r="BI448" s="78"/>
      <c r="BK448" s="78"/>
      <c r="BN448" s="81"/>
      <c r="BP448" s="78"/>
      <c r="BQ448" s="78"/>
      <c r="BS448" s="78"/>
      <c r="BV448" s="81"/>
      <c r="BX448" s="78"/>
      <c r="BZ448" s="78"/>
      <c r="CC448" s="45"/>
      <c r="CD448" s="36"/>
      <c r="CE448" s="46"/>
      <c r="CF448" s="46"/>
      <c r="CG448" s="46"/>
      <c r="CH448" s="47"/>
      <c r="CI448" s="47"/>
      <c r="CJ448" s="47"/>
      <c r="CK448" s="46"/>
      <c r="CL448" s="46"/>
      <c r="CM448" s="46"/>
      <c r="CN448" s="46"/>
      <c r="CO448" s="46"/>
      <c r="CP448" s="46"/>
      <c r="CQ448" s="46"/>
      <c r="CR448" s="46"/>
      <c r="CS448" s="46"/>
      <c r="CT448" s="46"/>
      <c r="CU448" s="46"/>
      <c r="CV448" s="46"/>
      <c r="CW448" s="48"/>
      <c r="CX448" s="46"/>
      <c r="CY448" s="46"/>
      <c r="CZ448" s="48"/>
      <c r="DA448" s="48"/>
      <c r="DB448" s="48"/>
      <c r="DC448" s="48"/>
      <c r="DD448" s="46"/>
      <c r="DE448" s="46"/>
      <c r="DF448" s="48"/>
      <c r="DG448" s="48"/>
      <c r="DH448" s="48"/>
      <c r="DI448" s="49"/>
      <c r="DJ448" s="50"/>
      <c r="DK448" s="50">
        <f t="shared" si="625"/>
        <v>0</v>
      </c>
    </row>
    <row r="449" spans="1:115" s="37" customFormat="1">
      <c r="A449" s="24"/>
      <c r="X449" s="74"/>
      <c r="AB449" s="75"/>
      <c r="AD449" s="78"/>
      <c r="AE449" s="78"/>
      <c r="AG449" s="78"/>
      <c r="AH449" s="80"/>
      <c r="AJ449" s="81"/>
      <c r="AL449" s="85"/>
      <c r="AM449" s="85"/>
      <c r="AO449" s="78"/>
      <c r="AR449" s="81"/>
      <c r="AW449" s="78"/>
      <c r="AZ449" s="81"/>
      <c r="BB449" s="78"/>
      <c r="BD449" s="78"/>
      <c r="BG449" s="81"/>
      <c r="BI449" s="78"/>
      <c r="BK449" s="78"/>
      <c r="BN449" s="81"/>
      <c r="BP449" s="78"/>
      <c r="BQ449" s="78"/>
      <c r="BS449" s="78"/>
      <c r="BV449" s="81"/>
      <c r="BX449" s="78"/>
      <c r="BZ449" s="78"/>
      <c r="CC449" s="45"/>
      <c r="CD449" s="36"/>
      <c r="CE449" s="46"/>
      <c r="CF449" s="46"/>
      <c r="CG449" s="46"/>
      <c r="CH449" s="47"/>
      <c r="CI449" s="47"/>
      <c r="CJ449" s="47"/>
      <c r="CK449" s="46"/>
      <c r="CL449" s="46"/>
      <c r="CM449" s="46"/>
      <c r="CN449" s="46"/>
      <c r="CO449" s="46"/>
      <c r="CP449" s="46"/>
      <c r="CQ449" s="46"/>
      <c r="CR449" s="46"/>
      <c r="CS449" s="46"/>
      <c r="CT449" s="46"/>
      <c r="CU449" s="46"/>
      <c r="CV449" s="46"/>
      <c r="CW449" s="48"/>
      <c r="CX449" s="46"/>
      <c r="CY449" s="46"/>
      <c r="CZ449" s="48"/>
      <c r="DA449" s="48"/>
      <c r="DB449" s="48"/>
      <c r="DC449" s="48"/>
      <c r="DD449" s="46"/>
      <c r="DE449" s="46"/>
      <c r="DF449" s="48"/>
      <c r="DG449" s="48"/>
      <c r="DH449" s="48"/>
      <c r="DI449" s="49"/>
      <c r="DJ449" s="50"/>
      <c r="DK449" s="50">
        <f t="shared" si="625"/>
        <v>0</v>
      </c>
    </row>
    <row r="450" spans="1:115" s="37" customFormat="1">
      <c r="A450" s="24"/>
      <c r="X450" s="74"/>
      <c r="AB450" s="75"/>
      <c r="AD450" s="78"/>
      <c r="AE450" s="78"/>
      <c r="AG450" s="78"/>
      <c r="AH450" s="80"/>
      <c r="AJ450" s="81"/>
      <c r="AL450" s="85"/>
      <c r="AM450" s="85"/>
      <c r="AO450" s="78"/>
      <c r="AR450" s="81"/>
      <c r="AW450" s="78"/>
      <c r="AZ450" s="81"/>
      <c r="BB450" s="78"/>
      <c r="BD450" s="78"/>
      <c r="BG450" s="81"/>
      <c r="BI450" s="78"/>
      <c r="BK450" s="78"/>
      <c r="BN450" s="81"/>
      <c r="BP450" s="78"/>
      <c r="BQ450" s="78"/>
      <c r="BS450" s="78"/>
      <c r="BV450" s="81"/>
      <c r="BX450" s="78"/>
      <c r="BZ450" s="78"/>
      <c r="CC450" s="45"/>
      <c r="CD450" s="36"/>
      <c r="CE450" s="46"/>
      <c r="CF450" s="46"/>
      <c r="CG450" s="46"/>
      <c r="CH450" s="47"/>
      <c r="CI450" s="47"/>
      <c r="CJ450" s="47"/>
      <c r="CK450" s="46"/>
      <c r="CL450" s="46"/>
      <c r="CM450" s="46"/>
      <c r="CN450" s="46"/>
      <c r="CO450" s="46"/>
      <c r="CP450" s="46"/>
      <c r="CQ450" s="46"/>
      <c r="CR450" s="46"/>
      <c r="CS450" s="46"/>
      <c r="CT450" s="46"/>
      <c r="CU450" s="46"/>
      <c r="CV450" s="46"/>
      <c r="CW450" s="48"/>
      <c r="CX450" s="46"/>
      <c r="CY450" s="46"/>
      <c r="CZ450" s="48"/>
      <c r="DA450" s="48"/>
      <c r="DB450" s="48"/>
      <c r="DC450" s="48"/>
      <c r="DD450" s="46"/>
      <c r="DE450" s="46"/>
      <c r="DF450" s="48"/>
      <c r="DG450" s="48"/>
      <c r="DH450" s="48"/>
      <c r="DI450" s="49"/>
      <c r="DJ450" s="50"/>
      <c r="DK450" s="50">
        <f t="shared" si="625"/>
        <v>0</v>
      </c>
    </row>
    <row r="451" spans="1:115" s="37" customFormat="1">
      <c r="A451" s="24"/>
      <c r="X451" s="74"/>
      <c r="AB451" s="75"/>
      <c r="AD451" s="78"/>
      <c r="AE451" s="78"/>
      <c r="AG451" s="78"/>
      <c r="AH451" s="80"/>
      <c r="AJ451" s="81"/>
      <c r="AL451" s="85"/>
      <c r="AM451" s="85"/>
      <c r="AO451" s="78"/>
      <c r="AR451" s="81"/>
      <c r="AW451" s="78"/>
      <c r="AZ451" s="81"/>
      <c r="BB451" s="78"/>
      <c r="BD451" s="78"/>
      <c r="BG451" s="81"/>
      <c r="BI451" s="78"/>
      <c r="BK451" s="78"/>
      <c r="BN451" s="81"/>
      <c r="BP451" s="78"/>
      <c r="BQ451" s="78"/>
      <c r="BS451" s="78"/>
      <c r="BV451" s="81"/>
      <c r="BX451" s="78"/>
      <c r="BZ451" s="78"/>
      <c r="CC451" s="45"/>
      <c r="CD451" s="36"/>
      <c r="CE451" s="46"/>
      <c r="CF451" s="46"/>
      <c r="CG451" s="46"/>
      <c r="CH451" s="47"/>
      <c r="CI451" s="47"/>
      <c r="CJ451" s="47"/>
      <c r="CK451" s="46"/>
      <c r="CL451" s="46"/>
      <c r="CM451" s="46"/>
      <c r="CN451" s="46"/>
      <c r="CO451" s="46"/>
      <c r="CP451" s="46"/>
      <c r="CQ451" s="46"/>
      <c r="CR451" s="46"/>
      <c r="CS451" s="46"/>
      <c r="CT451" s="46"/>
      <c r="CU451" s="46"/>
      <c r="CV451" s="46"/>
      <c r="CW451" s="48"/>
      <c r="CX451" s="46"/>
      <c r="CY451" s="46"/>
      <c r="CZ451" s="48"/>
      <c r="DA451" s="48"/>
      <c r="DB451" s="48"/>
      <c r="DC451" s="48"/>
      <c r="DD451" s="46"/>
      <c r="DE451" s="46"/>
      <c r="DF451" s="48"/>
      <c r="DG451" s="48"/>
      <c r="DH451" s="48"/>
      <c r="DI451" s="49"/>
      <c r="DJ451" s="50"/>
      <c r="DK451" s="50">
        <f t="shared" si="625"/>
        <v>0</v>
      </c>
    </row>
    <row r="452" spans="1:115" s="37" customFormat="1">
      <c r="A452" s="24"/>
      <c r="X452" s="74"/>
      <c r="AB452" s="75"/>
      <c r="AD452" s="78"/>
      <c r="AE452" s="78"/>
      <c r="AG452" s="78"/>
      <c r="AH452" s="80"/>
      <c r="AJ452" s="81"/>
      <c r="AL452" s="85"/>
      <c r="AM452" s="85"/>
      <c r="AO452" s="78"/>
      <c r="AR452" s="81"/>
      <c r="AW452" s="78"/>
      <c r="AZ452" s="81"/>
      <c r="BB452" s="78"/>
      <c r="BD452" s="78"/>
      <c r="BG452" s="81"/>
      <c r="BI452" s="78"/>
      <c r="BK452" s="78"/>
      <c r="BN452" s="81"/>
      <c r="BP452" s="78"/>
      <c r="BQ452" s="78"/>
      <c r="BS452" s="78"/>
      <c r="BV452" s="81"/>
      <c r="BX452" s="78"/>
      <c r="BZ452" s="78"/>
      <c r="CC452" s="45"/>
      <c r="CD452" s="36"/>
      <c r="CE452" s="46"/>
      <c r="CF452" s="46"/>
      <c r="CG452" s="46"/>
      <c r="CH452" s="47"/>
      <c r="CI452" s="47"/>
      <c r="CJ452" s="47"/>
      <c r="CK452" s="46"/>
      <c r="CL452" s="46"/>
      <c r="CM452" s="46"/>
      <c r="CN452" s="46"/>
      <c r="CO452" s="46"/>
      <c r="CP452" s="46"/>
      <c r="CQ452" s="46"/>
      <c r="CR452" s="46"/>
      <c r="CS452" s="46"/>
      <c r="CT452" s="46"/>
      <c r="CU452" s="46"/>
      <c r="CV452" s="46"/>
      <c r="CW452" s="48"/>
      <c r="CX452" s="46"/>
      <c r="CY452" s="46"/>
      <c r="CZ452" s="48"/>
      <c r="DA452" s="48"/>
      <c r="DB452" s="48"/>
      <c r="DC452" s="48"/>
      <c r="DD452" s="46"/>
      <c r="DE452" s="46"/>
      <c r="DF452" s="48"/>
      <c r="DG452" s="48"/>
      <c r="DH452" s="48"/>
      <c r="DI452" s="49"/>
      <c r="DJ452" s="50"/>
      <c r="DK452" s="50">
        <f t="shared" si="625"/>
        <v>0</v>
      </c>
    </row>
    <row r="453" spans="1:115" s="37" customFormat="1">
      <c r="A453" s="24"/>
      <c r="X453" s="74"/>
      <c r="AB453" s="75"/>
      <c r="AD453" s="78"/>
      <c r="AE453" s="78"/>
      <c r="AG453" s="78"/>
      <c r="AH453" s="80"/>
      <c r="AJ453" s="81"/>
      <c r="AL453" s="85"/>
      <c r="AM453" s="85"/>
      <c r="AO453" s="78"/>
      <c r="AR453" s="81"/>
      <c r="AW453" s="78"/>
      <c r="AZ453" s="81"/>
      <c r="BB453" s="78"/>
      <c r="BD453" s="78"/>
      <c r="BG453" s="81"/>
      <c r="BI453" s="78"/>
      <c r="BK453" s="78"/>
      <c r="BN453" s="81"/>
      <c r="BP453" s="78"/>
      <c r="BQ453" s="78"/>
      <c r="BS453" s="78"/>
      <c r="BV453" s="81"/>
      <c r="BX453" s="78"/>
      <c r="BZ453" s="78"/>
      <c r="CC453" s="45"/>
      <c r="CD453" s="36"/>
      <c r="CE453" s="46"/>
      <c r="CF453" s="46"/>
      <c r="CG453" s="46"/>
      <c r="CH453" s="47"/>
      <c r="CI453" s="47"/>
      <c r="CJ453" s="47"/>
      <c r="CK453" s="46"/>
      <c r="CL453" s="46"/>
      <c r="CM453" s="46"/>
      <c r="CN453" s="46"/>
      <c r="CO453" s="46"/>
      <c r="CP453" s="46"/>
      <c r="CQ453" s="46"/>
      <c r="CR453" s="46"/>
      <c r="CS453" s="46"/>
      <c r="CT453" s="46"/>
      <c r="CU453" s="46"/>
      <c r="CV453" s="46"/>
      <c r="CW453" s="48"/>
      <c r="CX453" s="46"/>
      <c r="CY453" s="46"/>
      <c r="CZ453" s="48"/>
      <c r="DA453" s="48"/>
      <c r="DB453" s="48"/>
      <c r="DC453" s="48"/>
      <c r="DD453" s="46"/>
      <c r="DE453" s="46"/>
      <c r="DF453" s="48"/>
      <c r="DG453" s="48"/>
      <c r="DH453" s="48"/>
      <c r="DI453" s="49"/>
      <c r="DJ453" s="50"/>
      <c r="DK453" s="50">
        <f t="shared" si="625"/>
        <v>0</v>
      </c>
    </row>
    <row r="454" spans="1:115" s="37" customFormat="1">
      <c r="A454" s="24"/>
      <c r="X454" s="74"/>
      <c r="AB454" s="75"/>
      <c r="AD454" s="78"/>
      <c r="AE454" s="78"/>
      <c r="AG454" s="78"/>
      <c r="AH454" s="80"/>
      <c r="AJ454" s="81"/>
      <c r="AL454" s="85"/>
      <c r="AM454" s="85"/>
      <c r="AO454" s="78"/>
      <c r="AR454" s="81"/>
      <c r="AW454" s="78"/>
      <c r="AZ454" s="81"/>
      <c r="BB454" s="78"/>
      <c r="BD454" s="78"/>
      <c r="BG454" s="81"/>
      <c r="BI454" s="78"/>
      <c r="BK454" s="78"/>
      <c r="BN454" s="81"/>
      <c r="BP454" s="78"/>
      <c r="BQ454" s="78"/>
      <c r="BS454" s="78"/>
      <c r="BV454" s="81"/>
      <c r="BX454" s="78"/>
      <c r="BZ454" s="78"/>
      <c r="CC454" s="45"/>
      <c r="CD454" s="36"/>
      <c r="CE454" s="46"/>
      <c r="CF454" s="46"/>
      <c r="CG454" s="46"/>
      <c r="CH454" s="47"/>
      <c r="CI454" s="47"/>
      <c r="CJ454" s="47"/>
      <c r="CK454" s="46"/>
      <c r="CL454" s="46"/>
      <c r="CM454" s="46"/>
      <c r="CN454" s="46"/>
      <c r="CO454" s="46"/>
      <c r="CP454" s="46"/>
      <c r="CQ454" s="46"/>
      <c r="CR454" s="46"/>
      <c r="CS454" s="46"/>
      <c r="CT454" s="46"/>
      <c r="CU454" s="46"/>
      <c r="CV454" s="46"/>
      <c r="CW454" s="48"/>
      <c r="CX454" s="46"/>
      <c r="CY454" s="46"/>
      <c r="CZ454" s="48"/>
      <c r="DA454" s="48"/>
      <c r="DB454" s="48"/>
      <c r="DC454" s="48"/>
      <c r="DD454" s="46"/>
      <c r="DE454" s="46"/>
      <c r="DF454" s="48"/>
      <c r="DG454" s="48"/>
      <c r="DH454" s="48"/>
      <c r="DI454" s="49"/>
      <c r="DJ454" s="50"/>
      <c r="DK454" s="50">
        <f t="shared" si="625"/>
        <v>0</v>
      </c>
    </row>
    <row r="455" spans="1:115" s="37" customFormat="1">
      <c r="A455" s="24"/>
      <c r="X455" s="74"/>
      <c r="AB455" s="75"/>
      <c r="AD455" s="78"/>
      <c r="AE455" s="78"/>
      <c r="AG455" s="78"/>
      <c r="AH455" s="80"/>
      <c r="AJ455" s="81"/>
      <c r="AL455" s="85"/>
      <c r="AM455" s="85"/>
      <c r="AO455" s="78"/>
      <c r="AR455" s="81"/>
      <c r="AW455" s="78"/>
      <c r="AZ455" s="81"/>
      <c r="BB455" s="78"/>
      <c r="BD455" s="78"/>
      <c r="BG455" s="81"/>
      <c r="BI455" s="78"/>
      <c r="BK455" s="78"/>
      <c r="BN455" s="81"/>
      <c r="BP455" s="78"/>
      <c r="BQ455" s="78"/>
      <c r="BS455" s="78"/>
      <c r="BV455" s="81"/>
      <c r="BX455" s="78"/>
      <c r="BZ455" s="78"/>
      <c r="CC455" s="45"/>
      <c r="CD455" s="36"/>
      <c r="CE455" s="46"/>
      <c r="CF455" s="46"/>
      <c r="CG455" s="46"/>
      <c r="CH455" s="47"/>
      <c r="CI455" s="47"/>
      <c r="CJ455" s="47"/>
      <c r="CK455" s="46"/>
      <c r="CL455" s="46"/>
      <c r="CM455" s="46"/>
      <c r="CN455" s="46"/>
      <c r="CO455" s="46"/>
      <c r="CP455" s="46"/>
      <c r="CQ455" s="46"/>
      <c r="CR455" s="46"/>
      <c r="CS455" s="46"/>
      <c r="CT455" s="46"/>
      <c r="CU455" s="46"/>
      <c r="CV455" s="46"/>
      <c r="CW455" s="48"/>
      <c r="CX455" s="46"/>
      <c r="CY455" s="46"/>
      <c r="CZ455" s="48"/>
      <c r="DA455" s="48"/>
      <c r="DB455" s="48"/>
      <c r="DC455" s="48"/>
      <c r="DD455" s="46"/>
      <c r="DE455" s="46"/>
      <c r="DF455" s="48"/>
      <c r="DG455" s="48"/>
      <c r="DH455" s="48"/>
      <c r="DI455" s="49"/>
      <c r="DJ455" s="50"/>
      <c r="DK455" s="50">
        <f t="shared" si="625"/>
        <v>0</v>
      </c>
    </row>
    <row r="456" spans="1:115" s="37" customFormat="1">
      <c r="A456" s="24"/>
      <c r="X456" s="74"/>
      <c r="AB456" s="75"/>
      <c r="AD456" s="78"/>
      <c r="AE456" s="78"/>
      <c r="AG456" s="78"/>
      <c r="AH456" s="80"/>
      <c r="AJ456" s="81"/>
      <c r="AL456" s="85"/>
      <c r="AM456" s="85"/>
      <c r="AO456" s="78"/>
      <c r="AR456" s="81"/>
      <c r="AW456" s="78"/>
      <c r="AZ456" s="81"/>
      <c r="BB456" s="78"/>
      <c r="BD456" s="78"/>
      <c r="BG456" s="81"/>
      <c r="BI456" s="78"/>
      <c r="BK456" s="78"/>
      <c r="BN456" s="81"/>
      <c r="BP456" s="78"/>
      <c r="BQ456" s="78"/>
      <c r="BS456" s="78"/>
      <c r="BV456" s="81"/>
      <c r="BX456" s="78"/>
      <c r="BZ456" s="78"/>
      <c r="CC456" s="45"/>
      <c r="CD456" s="36"/>
      <c r="CE456" s="46"/>
      <c r="CF456" s="46"/>
      <c r="CG456" s="46"/>
      <c r="CH456" s="47"/>
      <c r="CI456" s="47"/>
      <c r="CJ456" s="47"/>
      <c r="CK456" s="46"/>
      <c r="CL456" s="46"/>
      <c r="CM456" s="46"/>
      <c r="CN456" s="46"/>
      <c r="CO456" s="46"/>
      <c r="CP456" s="46"/>
      <c r="CQ456" s="46"/>
      <c r="CR456" s="46"/>
      <c r="CS456" s="46"/>
      <c r="CT456" s="46"/>
      <c r="CU456" s="46"/>
      <c r="CV456" s="46"/>
      <c r="CW456" s="48"/>
      <c r="CX456" s="46"/>
      <c r="CY456" s="46"/>
      <c r="CZ456" s="48"/>
      <c r="DA456" s="48"/>
      <c r="DB456" s="48"/>
      <c r="DC456" s="48"/>
      <c r="DD456" s="46"/>
      <c r="DE456" s="46"/>
      <c r="DF456" s="48"/>
      <c r="DG456" s="48"/>
      <c r="DH456" s="48"/>
      <c r="DI456" s="49"/>
      <c r="DJ456" s="50"/>
      <c r="DK456" s="50">
        <f t="shared" si="625"/>
        <v>0</v>
      </c>
    </row>
    <row r="457" spans="1:115" s="37" customFormat="1">
      <c r="A457" s="24"/>
      <c r="X457" s="74"/>
      <c r="AB457" s="75"/>
      <c r="AD457" s="78"/>
      <c r="AE457" s="78"/>
      <c r="AG457" s="78"/>
      <c r="AH457" s="80"/>
      <c r="AJ457" s="81"/>
      <c r="AL457" s="85"/>
      <c r="AM457" s="85"/>
      <c r="AO457" s="78"/>
      <c r="AR457" s="81"/>
      <c r="AW457" s="78"/>
      <c r="AZ457" s="81"/>
      <c r="BB457" s="78"/>
      <c r="BD457" s="78"/>
      <c r="BG457" s="81"/>
      <c r="BI457" s="78"/>
      <c r="BK457" s="78"/>
      <c r="BN457" s="81"/>
      <c r="BP457" s="78"/>
      <c r="BQ457" s="78"/>
      <c r="BS457" s="78"/>
      <c r="BV457" s="81"/>
      <c r="BX457" s="78"/>
      <c r="BZ457" s="78"/>
      <c r="CC457" s="45"/>
      <c r="CD457" s="36"/>
      <c r="CE457" s="46"/>
      <c r="CF457" s="46"/>
      <c r="CG457" s="46"/>
      <c r="CH457" s="47"/>
      <c r="CI457" s="47"/>
      <c r="CJ457" s="47"/>
      <c r="CK457" s="46"/>
      <c r="CL457" s="46"/>
      <c r="CM457" s="46"/>
      <c r="CN457" s="46"/>
      <c r="CO457" s="46"/>
      <c r="CP457" s="46"/>
      <c r="CQ457" s="46"/>
      <c r="CR457" s="46"/>
      <c r="CS457" s="46"/>
      <c r="CT457" s="46"/>
      <c r="CU457" s="46"/>
      <c r="CV457" s="46"/>
      <c r="CW457" s="48"/>
      <c r="CX457" s="46"/>
      <c r="CY457" s="46"/>
      <c r="CZ457" s="48"/>
      <c r="DA457" s="48"/>
      <c r="DB457" s="48"/>
      <c r="DC457" s="48"/>
      <c r="DD457" s="46"/>
      <c r="DE457" s="46"/>
      <c r="DF457" s="48"/>
      <c r="DG457" s="48"/>
      <c r="DH457" s="48"/>
      <c r="DI457" s="49"/>
      <c r="DJ457" s="50"/>
      <c r="DK457" s="50">
        <f t="shared" si="625"/>
        <v>0</v>
      </c>
    </row>
    <row r="458" spans="1:115" s="37" customFormat="1">
      <c r="A458" s="24"/>
      <c r="X458" s="74"/>
      <c r="AB458" s="75"/>
      <c r="AD458" s="78"/>
      <c r="AE458" s="78"/>
      <c r="AG458" s="78"/>
      <c r="AH458" s="80"/>
      <c r="AJ458" s="81"/>
      <c r="AL458" s="85"/>
      <c r="AM458" s="85"/>
      <c r="AO458" s="78"/>
      <c r="AR458" s="81"/>
      <c r="AW458" s="78"/>
      <c r="AZ458" s="81"/>
      <c r="BB458" s="78"/>
      <c r="BD458" s="78"/>
      <c r="BG458" s="81"/>
      <c r="BI458" s="78"/>
      <c r="BK458" s="78"/>
      <c r="BN458" s="81"/>
      <c r="BP458" s="78"/>
      <c r="BQ458" s="78"/>
      <c r="BS458" s="78"/>
      <c r="BV458" s="81"/>
      <c r="BX458" s="78"/>
      <c r="BZ458" s="78"/>
      <c r="CC458" s="45"/>
      <c r="CD458" s="36"/>
      <c r="CE458" s="46"/>
      <c r="CF458" s="46"/>
      <c r="CG458" s="46"/>
      <c r="CH458" s="47"/>
      <c r="CI458" s="47"/>
      <c r="CJ458" s="47"/>
      <c r="CK458" s="46"/>
      <c r="CL458" s="46"/>
      <c r="CM458" s="46"/>
      <c r="CN458" s="46"/>
      <c r="CO458" s="46"/>
      <c r="CP458" s="46"/>
      <c r="CQ458" s="46"/>
      <c r="CR458" s="46"/>
      <c r="CS458" s="46"/>
      <c r="CT458" s="46"/>
      <c r="CU458" s="46"/>
      <c r="CV458" s="46"/>
      <c r="CW458" s="48"/>
      <c r="CX458" s="46"/>
      <c r="CY458" s="46"/>
      <c r="CZ458" s="48"/>
      <c r="DA458" s="48"/>
      <c r="DB458" s="48"/>
      <c r="DC458" s="48"/>
      <c r="DD458" s="46"/>
      <c r="DE458" s="46"/>
      <c r="DF458" s="48"/>
      <c r="DG458" s="48"/>
      <c r="DH458" s="48"/>
      <c r="DI458" s="49"/>
      <c r="DJ458" s="50"/>
      <c r="DK458" s="50">
        <f t="shared" si="625"/>
        <v>0</v>
      </c>
    </row>
    <row r="459" spans="1:115" s="37" customFormat="1">
      <c r="A459" s="24"/>
      <c r="X459" s="74"/>
      <c r="AB459" s="75"/>
      <c r="AD459" s="78"/>
      <c r="AE459" s="78"/>
      <c r="AG459" s="78"/>
      <c r="AH459" s="80"/>
      <c r="AJ459" s="81"/>
      <c r="AL459" s="85"/>
      <c r="AM459" s="85"/>
      <c r="AO459" s="78"/>
      <c r="AR459" s="81"/>
      <c r="AW459" s="78"/>
      <c r="AZ459" s="81"/>
      <c r="BB459" s="78"/>
      <c r="BD459" s="78"/>
      <c r="BG459" s="81"/>
      <c r="BI459" s="78"/>
      <c r="BK459" s="78"/>
      <c r="BN459" s="81"/>
      <c r="BP459" s="78"/>
      <c r="BQ459" s="78"/>
      <c r="BS459" s="78"/>
      <c r="BV459" s="81"/>
      <c r="BX459" s="78"/>
      <c r="BZ459" s="78"/>
      <c r="CC459" s="45"/>
      <c r="CD459" s="36"/>
      <c r="CE459" s="46"/>
      <c r="CF459" s="46"/>
      <c r="CG459" s="46"/>
      <c r="CH459" s="47"/>
      <c r="CI459" s="47"/>
      <c r="CJ459" s="47"/>
      <c r="CK459" s="46"/>
      <c r="CL459" s="46"/>
      <c r="CM459" s="46"/>
      <c r="CN459" s="46"/>
      <c r="CO459" s="46"/>
      <c r="CP459" s="46"/>
      <c r="CQ459" s="46"/>
      <c r="CR459" s="46"/>
      <c r="CS459" s="46"/>
      <c r="CT459" s="46"/>
      <c r="CU459" s="46"/>
      <c r="CV459" s="46"/>
      <c r="CW459" s="48"/>
      <c r="CX459" s="46"/>
      <c r="CY459" s="46"/>
      <c r="CZ459" s="48"/>
      <c r="DA459" s="48"/>
      <c r="DB459" s="48"/>
      <c r="DC459" s="48"/>
      <c r="DD459" s="46"/>
      <c r="DE459" s="46"/>
      <c r="DF459" s="48"/>
      <c r="DG459" s="48"/>
      <c r="DH459" s="48"/>
      <c r="DI459" s="49"/>
      <c r="DJ459" s="50"/>
      <c r="DK459" s="50">
        <f t="shared" si="625"/>
        <v>0</v>
      </c>
    </row>
    <row r="460" spans="1:115" s="37" customFormat="1">
      <c r="A460" s="24"/>
      <c r="X460" s="74"/>
      <c r="AB460" s="75"/>
      <c r="AD460" s="78"/>
      <c r="AE460" s="78"/>
      <c r="AG460" s="78"/>
      <c r="AH460" s="80"/>
      <c r="AJ460" s="81"/>
      <c r="AL460" s="85"/>
      <c r="AM460" s="85"/>
      <c r="AO460" s="78"/>
      <c r="AR460" s="81"/>
      <c r="AW460" s="78"/>
      <c r="AZ460" s="81"/>
      <c r="BB460" s="78"/>
      <c r="BD460" s="78"/>
      <c r="BG460" s="81"/>
      <c r="BI460" s="78"/>
      <c r="BK460" s="78"/>
      <c r="BN460" s="81"/>
      <c r="BP460" s="78"/>
      <c r="BQ460" s="78"/>
      <c r="BS460" s="78"/>
      <c r="BV460" s="81"/>
      <c r="BX460" s="78"/>
      <c r="BZ460" s="78"/>
      <c r="CC460" s="45"/>
      <c r="CD460" s="36"/>
      <c r="CE460" s="46"/>
      <c r="CF460" s="46"/>
      <c r="CG460" s="46"/>
      <c r="CH460" s="47"/>
      <c r="CI460" s="47"/>
      <c r="CJ460" s="47"/>
      <c r="CK460" s="46"/>
      <c r="CL460" s="46"/>
      <c r="CM460" s="46"/>
      <c r="CN460" s="46"/>
      <c r="CO460" s="46"/>
      <c r="CP460" s="46"/>
      <c r="CQ460" s="46"/>
      <c r="CR460" s="46"/>
      <c r="CS460" s="46"/>
      <c r="CT460" s="46"/>
      <c r="CU460" s="46"/>
      <c r="CV460" s="46"/>
      <c r="CW460" s="48"/>
      <c r="CX460" s="46"/>
      <c r="CY460" s="46"/>
      <c r="CZ460" s="48"/>
      <c r="DA460" s="48"/>
      <c r="DB460" s="48"/>
      <c r="DC460" s="48"/>
      <c r="DD460" s="46"/>
      <c r="DE460" s="46"/>
      <c r="DF460" s="48"/>
      <c r="DG460" s="48"/>
      <c r="DH460" s="48"/>
      <c r="DI460" s="49"/>
      <c r="DJ460" s="50"/>
      <c r="DK460" s="50">
        <f t="shared" si="625"/>
        <v>0</v>
      </c>
    </row>
    <row r="461" spans="1:115" s="37" customFormat="1">
      <c r="A461" s="24"/>
      <c r="X461" s="74"/>
      <c r="AB461" s="75"/>
      <c r="AD461" s="78"/>
      <c r="AE461" s="78"/>
      <c r="AG461" s="78"/>
      <c r="AH461" s="80"/>
      <c r="AJ461" s="81"/>
      <c r="AL461" s="85"/>
      <c r="AM461" s="85"/>
      <c r="AO461" s="78"/>
      <c r="AR461" s="81"/>
      <c r="AW461" s="78"/>
      <c r="AZ461" s="81"/>
      <c r="BB461" s="78"/>
      <c r="BD461" s="78"/>
      <c r="BG461" s="81"/>
      <c r="BI461" s="78"/>
      <c r="BK461" s="78"/>
      <c r="BN461" s="81"/>
      <c r="BP461" s="78"/>
      <c r="BQ461" s="78"/>
      <c r="BS461" s="78"/>
      <c r="BV461" s="81"/>
      <c r="BX461" s="78"/>
      <c r="BZ461" s="78"/>
      <c r="CC461" s="45"/>
      <c r="CD461" s="36"/>
      <c r="CE461" s="46"/>
      <c r="CF461" s="46"/>
      <c r="CG461" s="46"/>
      <c r="CH461" s="47"/>
      <c r="CI461" s="47"/>
      <c r="CJ461" s="47"/>
      <c r="CK461" s="46"/>
      <c r="CL461" s="46"/>
      <c r="CM461" s="46"/>
      <c r="CN461" s="46"/>
      <c r="CO461" s="46"/>
      <c r="CP461" s="46"/>
      <c r="CQ461" s="46"/>
      <c r="CR461" s="46"/>
      <c r="CS461" s="46"/>
      <c r="CT461" s="46"/>
      <c r="CU461" s="46"/>
      <c r="CV461" s="46"/>
      <c r="CW461" s="48"/>
      <c r="CX461" s="46"/>
      <c r="CY461" s="46"/>
      <c r="CZ461" s="48"/>
      <c r="DA461" s="48"/>
      <c r="DB461" s="48"/>
      <c r="DC461" s="48"/>
      <c r="DD461" s="46"/>
      <c r="DE461" s="46"/>
      <c r="DF461" s="48"/>
      <c r="DG461" s="48"/>
      <c r="DH461" s="48"/>
      <c r="DI461" s="49"/>
      <c r="DJ461" s="50"/>
      <c r="DK461" s="50">
        <f t="shared" si="625"/>
        <v>0</v>
      </c>
    </row>
    <row r="462" spans="1:115" s="37" customFormat="1">
      <c r="A462" s="24"/>
      <c r="X462" s="74"/>
      <c r="AB462" s="75"/>
      <c r="AD462" s="78"/>
      <c r="AE462" s="78"/>
      <c r="AG462" s="78"/>
      <c r="AH462" s="80"/>
      <c r="AJ462" s="81"/>
      <c r="AL462" s="85"/>
      <c r="AM462" s="85"/>
      <c r="AO462" s="78"/>
      <c r="AR462" s="81"/>
      <c r="AW462" s="78"/>
      <c r="AZ462" s="81"/>
      <c r="BB462" s="78"/>
      <c r="BD462" s="78"/>
      <c r="BG462" s="81"/>
      <c r="BI462" s="78"/>
      <c r="BK462" s="78"/>
      <c r="BN462" s="81"/>
      <c r="BP462" s="78"/>
      <c r="BQ462" s="78"/>
      <c r="BS462" s="78"/>
      <c r="BV462" s="81"/>
      <c r="BX462" s="78"/>
      <c r="BZ462" s="78"/>
      <c r="CC462" s="45"/>
      <c r="CD462" s="36"/>
      <c r="CE462" s="46"/>
      <c r="CF462" s="46"/>
      <c r="CG462" s="46"/>
      <c r="CH462" s="47"/>
      <c r="CI462" s="47"/>
      <c r="CJ462" s="47"/>
      <c r="CK462" s="46"/>
      <c r="CL462" s="46"/>
      <c r="CM462" s="46"/>
      <c r="CN462" s="46"/>
      <c r="CO462" s="46"/>
      <c r="CP462" s="46"/>
      <c r="CQ462" s="46"/>
      <c r="CR462" s="46"/>
      <c r="CS462" s="46"/>
      <c r="CT462" s="46"/>
      <c r="CU462" s="46"/>
      <c r="CV462" s="46"/>
      <c r="CW462" s="48"/>
      <c r="CX462" s="46"/>
      <c r="CY462" s="46"/>
      <c r="CZ462" s="48"/>
      <c r="DA462" s="48"/>
      <c r="DB462" s="48"/>
      <c r="DC462" s="48"/>
      <c r="DD462" s="46"/>
      <c r="DE462" s="46"/>
      <c r="DF462" s="48"/>
      <c r="DG462" s="48"/>
      <c r="DH462" s="48"/>
      <c r="DI462" s="49"/>
      <c r="DJ462" s="50"/>
      <c r="DK462" s="50">
        <f t="shared" si="625"/>
        <v>0</v>
      </c>
    </row>
    <row r="463" spans="1:115" s="37" customFormat="1">
      <c r="A463" s="24"/>
      <c r="X463" s="74"/>
      <c r="AB463" s="75"/>
      <c r="AD463" s="78"/>
      <c r="AE463" s="78"/>
      <c r="AG463" s="78"/>
      <c r="AH463" s="80"/>
      <c r="AJ463" s="81"/>
      <c r="AL463" s="85"/>
      <c r="AM463" s="85"/>
      <c r="AO463" s="78"/>
      <c r="AR463" s="81"/>
      <c r="AW463" s="78"/>
      <c r="AZ463" s="81"/>
      <c r="BB463" s="78"/>
      <c r="BD463" s="78"/>
      <c r="BG463" s="81"/>
      <c r="BI463" s="78"/>
      <c r="BK463" s="78"/>
      <c r="BN463" s="81"/>
      <c r="BP463" s="78"/>
      <c r="BQ463" s="78"/>
      <c r="BS463" s="78"/>
      <c r="BV463" s="81"/>
      <c r="BX463" s="78"/>
      <c r="BZ463" s="78"/>
      <c r="CC463" s="45"/>
      <c r="CD463" s="36"/>
      <c r="CE463" s="46"/>
      <c r="CF463" s="46"/>
      <c r="CG463" s="46"/>
      <c r="CH463" s="47"/>
      <c r="CI463" s="47"/>
      <c r="CJ463" s="47"/>
      <c r="CK463" s="46"/>
      <c r="CL463" s="46"/>
      <c r="CM463" s="46"/>
      <c r="CN463" s="46"/>
      <c r="CO463" s="46"/>
      <c r="CP463" s="46"/>
      <c r="CQ463" s="46"/>
      <c r="CR463" s="46"/>
      <c r="CS463" s="46"/>
      <c r="CT463" s="46"/>
      <c r="CU463" s="46"/>
      <c r="CV463" s="46"/>
      <c r="CW463" s="48"/>
      <c r="CX463" s="46"/>
      <c r="CY463" s="46"/>
      <c r="CZ463" s="48"/>
      <c r="DA463" s="48"/>
      <c r="DB463" s="48"/>
      <c r="DC463" s="48"/>
      <c r="DD463" s="46"/>
      <c r="DE463" s="46"/>
      <c r="DF463" s="48"/>
      <c r="DG463" s="48"/>
      <c r="DH463" s="48"/>
      <c r="DI463" s="49"/>
      <c r="DJ463" s="50"/>
      <c r="DK463" s="50">
        <f t="shared" si="625"/>
        <v>0</v>
      </c>
    </row>
    <row r="464" spans="1:115" s="37" customFormat="1">
      <c r="A464" s="24"/>
      <c r="X464" s="74"/>
      <c r="AB464" s="75"/>
      <c r="AD464" s="78"/>
      <c r="AE464" s="78"/>
      <c r="AG464" s="78"/>
      <c r="AH464" s="80"/>
      <c r="AJ464" s="81"/>
      <c r="AL464" s="85"/>
      <c r="AM464" s="85"/>
      <c r="AO464" s="78"/>
      <c r="AR464" s="81"/>
      <c r="AW464" s="78"/>
      <c r="AZ464" s="81"/>
      <c r="BB464" s="78"/>
      <c r="BD464" s="78"/>
      <c r="BG464" s="81"/>
      <c r="BI464" s="78"/>
      <c r="BK464" s="78"/>
      <c r="BN464" s="81"/>
      <c r="BP464" s="78"/>
      <c r="BQ464" s="78"/>
      <c r="BS464" s="78"/>
      <c r="BV464" s="81"/>
      <c r="BX464" s="78"/>
      <c r="BZ464" s="78"/>
      <c r="CC464" s="45"/>
      <c r="CD464" s="36"/>
      <c r="CE464" s="46"/>
      <c r="CF464" s="46"/>
      <c r="CG464" s="46"/>
      <c r="CH464" s="47"/>
      <c r="CI464" s="47"/>
      <c r="CJ464" s="47"/>
      <c r="CK464" s="46"/>
      <c r="CL464" s="46"/>
      <c r="CM464" s="46"/>
      <c r="CN464" s="46"/>
      <c r="CO464" s="46"/>
      <c r="CP464" s="46"/>
      <c r="CQ464" s="46"/>
      <c r="CR464" s="46"/>
      <c r="CS464" s="46"/>
      <c r="CT464" s="46"/>
      <c r="CU464" s="46"/>
      <c r="CV464" s="46"/>
      <c r="CW464" s="48"/>
      <c r="CX464" s="46"/>
      <c r="CY464" s="46"/>
      <c r="CZ464" s="48"/>
      <c r="DA464" s="48"/>
      <c r="DB464" s="48"/>
      <c r="DC464" s="48"/>
      <c r="DD464" s="46"/>
      <c r="DE464" s="46"/>
      <c r="DF464" s="48"/>
      <c r="DG464" s="48"/>
      <c r="DH464" s="48"/>
      <c r="DI464" s="49"/>
      <c r="DJ464" s="50"/>
      <c r="DK464" s="50">
        <f t="shared" si="625"/>
        <v>0</v>
      </c>
    </row>
    <row r="465" spans="1:115" s="37" customFormat="1">
      <c r="A465" s="24"/>
      <c r="X465" s="74"/>
      <c r="AB465" s="75"/>
      <c r="AD465" s="78"/>
      <c r="AE465" s="78"/>
      <c r="AG465" s="78"/>
      <c r="AH465" s="80"/>
      <c r="AJ465" s="81"/>
      <c r="AL465" s="85"/>
      <c r="AM465" s="85"/>
      <c r="AO465" s="78"/>
      <c r="AR465" s="81"/>
      <c r="AW465" s="78"/>
      <c r="AZ465" s="81"/>
      <c r="BB465" s="78"/>
      <c r="BD465" s="78"/>
      <c r="BG465" s="81"/>
      <c r="BI465" s="78"/>
      <c r="BK465" s="78"/>
      <c r="BN465" s="81"/>
      <c r="BP465" s="78"/>
      <c r="BQ465" s="78"/>
      <c r="BS465" s="78"/>
      <c r="BV465" s="81"/>
      <c r="BX465" s="78"/>
      <c r="BZ465" s="78"/>
      <c r="CC465" s="45"/>
      <c r="CD465" s="36"/>
      <c r="CE465" s="46"/>
      <c r="CF465" s="46"/>
      <c r="CG465" s="46"/>
      <c r="CH465" s="47"/>
      <c r="CI465" s="47"/>
      <c r="CJ465" s="47"/>
      <c r="CK465" s="46"/>
      <c r="CL465" s="46"/>
      <c r="CM465" s="46"/>
      <c r="CN465" s="46"/>
      <c r="CO465" s="46"/>
      <c r="CP465" s="46"/>
      <c r="CQ465" s="46"/>
      <c r="CR465" s="46"/>
      <c r="CS465" s="46"/>
      <c r="CT465" s="46"/>
      <c r="CU465" s="46"/>
      <c r="CV465" s="46"/>
      <c r="CW465" s="48"/>
      <c r="CX465" s="46"/>
      <c r="CY465" s="46"/>
      <c r="CZ465" s="48"/>
      <c r="DA465" s="48"/>
      <c r="DB465" s="48"/>
      <c r="DC465" s="48"/>
      <c r="DD465" s="46"/>
      <c r="DE465" s="46"/>
      <c r="DF465" s="48"/>
      <c r="DG465" s="48"/>
      <c r="DH465" s="48"/>
      <c r="DI465" s="49"/>
      <c r="DJ465" s="50"/>
      <c r="DK465" s="50">
        <f t="shared" si="625"/>
        <v>0</v>
      </c>
    </row>
    <row r="466" spans="1:115" s="37" customFormat="1">
      <c r="A466" s="24"/>
      <c r="X466" s="74"/>
      <c r="AB466" s="75"/>
      <c r="AD466" s="78"/>
      <c r="AE466" s="78"/>
      <c r="AG466" s="78"/>
      <c r="AH466" s="80"/>
      <c r="AJ466" s="81"/>
      <c r="AL466" s="85"/>
      <c r="AM466" s="85"/>
      <c r="AO466" s="78"/>
      <c r="AR466" s="81"/>
      <c r="AW466" s="78"/>
      <c r="AZ466" s="81"/>
      <c r="BB466" s="78"/>
      <c r="BD466" s="78"/>
      <c r="BG466" s="81"/>
      <c r="BI466" s="78"/>
      <c r="BK466" s="78"/>
      <c r="BN466" s="81"/>
      <c r="BP466" s="78"/>
      <c r="BQ466" s="78"/>
      <c r="BS466" s="78"/>
      <c r="BV466" s="81"/>
      <c r="BX466" s="78"/>
      <c r="BZ466" s="78"/>
      <c r="CC466" s="45"/>
      <c r="CD466" s="36"/>
      <c r="CE466" s="46"/>
      <c r="CF466" s="46"/>
      <c r="CG466" s="46"/>
      <c r="CH466" s="47"/>
      <c r="CI466" s="47"/>
      <c r="CJ466" s="47"/>
      <c r="CK466" s="46"/>
      <c r="CL466" s="46"/>
      <c r="CM466" s="46"/>
      <c r="CN466" s="46"/>
      <c r="CO466" s="46"/>
      <c r="CP466" s="46"/>
      <c r="CQ466" s="46"/>
      <c r="CR466" s="46"/>
      <c r="CS466" s="46"/>
      <c r="CT466" s="46"/>
      <c r="CU466" s="46"/>
      <c r="CV466" s="46"/>
      <c r="CW466" s="48"/>
      <c r="CX466" s="46"/>
      <c r="CY466" s="46"/>
      <c r="CZ466" s="48"/>
      <c r="DA466" s="48"/>
      <c r="DB466" s="48"/>
      <c r="DC466" s="48"/>
      <c r="DD466" s="46"/>
      <c r="DE466" s="46"/>
      <c r="DF466" s="48"/>
      <c r="DG466" s="48"/>
      <c r="DH466" s="48"/>
      <c r="DI466" s="49"/>
      <c r="DJ466" s="50"/>
      <c r="DK466" s="50"/>
    </row>
    <row r="467" spans="1:115" s="37" customFormat="1">
      <c r="A467" s="24"/>
      <c r="X467" s="74"/>
      <c r="AB467" s="75"/>
      <c r="AD467" s="78"/>
      <c r="AE467" s="78"/>
      <c r="AG467" s="78"/>
      <c r="AH467" s="80"/>
      <c r="AJ467" s="81"/>
      <c r="AL467" s="85"/>
      <c r="AM467" s="85"/>
      <c r="AO467" s="78"/>
      <c r="AR467" s="81"/>
      <c r="AW467" s="78"/>
      <c r="AZ467" s="81"/>
      <c r="BB467" s="78"/>
      <c r="BD467" s="78"/>
      <c r="BG467" s="81"/>
      <c r="BI467" s="78"/>
      <c r="BK467" s="78"/>
      <c r="BN467" s="81"/>
      <c r="BP467" s="78"/>
      <c r="BQ467" s="78"/>
      <c r="BS467" s="78"/>
      <c r="BV467" s="81"/>
      <c r="BX467" s="78"/>
      <c r="BZ467" s="78"/>
      <c r="CC467" s="45"/>
      <c r="CD467" s="36"/>
      <c r="CE467" s="46"/>
      <c r="CF467" s="46"/>
      <c r="CG467" s="46"/>
      <c r="CH467" s="47"/>
      <c r="CI467" s="47"/>
      <c r="CJ467" s="47"/>
      <c r="CK467" s="46"/>
      <c r="CL467" s="46"/>
      <c r="CM467" s="46"/>
      <c r="CN467" s="46"/>
      <c r="CO467" s="46"/>
      <c r="CP467" s="46"/>
      <c r="CQ467" s="46"/>
      <c r="CR467" s="46"/>
      <c r="CS467" s="46"/>
      <c r="CT467" s="46"/>
      <c r="CU467" s="46"/>
      <c r="CV467" s="46"/>
      <c r="CW467" s="48"/>
      <c r="CX467" s="46"/>
      <c r="CY467" s="46"/>
      <c r="CZ467" s="48"/>
      <c r="DA467" s="48"/>
      <c r="DB467" s="48"/>
      <c r="DC467" s="48"/>
      <c r="DD467" s="46"/>
      <c r="DE467" s="46"/>
      <c r="DF467" s="48"/>
      <c r="DG467" s="48"/>
      <c r="DH467" s="48"/>
      <c r="DI467" s="49"/>
      <c r="DJ467" s="50"/>
      <c r="DK467" s="50"/>
    </row>
    <row r="468" spans="1:115" s="37" customFormat="1">
      <c r="A468" s="24"/>
      <c r="X468" s="74"/>
      <c r="AB468" s="75"/>
      <c r="AD468" s="78"/>
      <c r="AE468" s="78"/>
      <c r="AG468" s="78"/>
      <c r="AH468" s="80"/>
      <c r="AJ468" s="81"/>
      <c r="AL468" s="85"/>
      <c r="AM468" s="85"/>
      <c r="AO468" s="78"/>
      <c r="AR468" s="81"/>
      <c r="AW468" s="78"/>
      <c r="AZ468" s="81"/>
      <c r="BB468" s="78"/>
      <c r="BD468" s="78"/>
      <c r="BG468" s="81"/>
      <c r="BI468" s="78"/>
      <c r="BK468" s="78"/>
      <c r="BN468" s="81"/>
      <c r="BP468" s="78"/>
      <c r="BQ468" s="78"/>
      <c r="BS468" s="78"/>
      <c r="BV468" s="81"/>
      <c r="BX468" s="78"/>
      <c r="BZ468" s="78"/>
      <c r="CC468" s="45"/>
      <c r="CD468" s="36"/>
      <c r="CE468" s="46"/>
      <c r="CF468" s="46"/>
      <c r="CG468" s="46"/>
      <c r="CH468" s="47"/>
      <c r="CI468" s="47"/>
      <c r="CJ468" s="47"/>
      <c r="CK468" s="46"/>
      <c r="CL468" s="46"/>
      <c r="CM468" s="46"/>
      <c r="CN468" s="46"/>
      <c r="CO468" s="46"/>
      <c r="CP468" s="46"/>
      <c r="CQ468" s="46"/>
      <c r="CR468" s="46"/>
      <c r="CS468" s="46"/>
      <c r="CT468" s="46"/>
      <c r="CU468" s="46"/>
      <c r="CV468" s="46"/>
      <c r="CW468" s="48"/>
      <c r="CX468" s="46"/>
      <c r="CY468" s="46"/>
      <c r="CZ468" s="48"/>
      <c r="DA468" s="48"/>
      <c r="DB468" s="48"/>
      <c r="DC468" s="48"/>
      <c r="DD468" s="46"/>
      <c r="DE468" s="46"/>
      <c r="DF468" s="48"/>
      <c r="DG468" s="48"/>
      <c r="DH468" s="48"/>
      <c r="DI468" s="49"/>
      <c r="DJ468" s="50"/>
      <c r="DK468" s="50"/>
    </row>
    <row r="469" spans="1:115" s="37" customFormat="1" ht="5.45" customHeight="1">
      <c r="A469" s="24"/>
      <c r="X469" s="74"/>
      <c r="AB469" s="75"/>
      <c r="AD469" s="78"/>
      <c r="AE469" s="78"/>
      <c r="AG469" s="78"/>
      <c r="AH469" s="80"/>
      <c r="AJ469" s="81"/>
      <c r="AL469" s="85"/>
      <c r="AM469" s="85"/>
      <c r="AO469" s="78"/>
      <c r="AR469" s="81"/>
      <c r="AW469" s="78"/>
      <c r="AZ469" s="81"/>
      <c r="BB469" s="78"/>
      <c r="BD469" s="78"/>
      <c r="BG469" s="81"/>
      <c r="BI469" s="78"/>
      <c r="BK469" s="78"/>
      <c r="BN469" s="81"/>
      <c r="BP469" s="78"/>
      <c r="BQ469" s="78"/>
      <c r="BS469" s="78"/>
      <c r="BV469" s="81"/>
      <c r="BX469" s="78"/>
      <c r="BZ469" s="78"/>
      <c r="CC469" s="45"/>
      <c r="CD469" s="36"/>
      <c r="CE469" s="46"/>
      <c r="CF469" s="46"/>
      <c r="CG469" s="46"/>
      <c r="CH469" s="47"/>
      <c r="CI469" s="47"/>
      <c r="CJ469" s="47"/>
      <c r="CK469" s="46"/>
      <c r="CL469" s="46"/>
      <c r="CM469" s="46"/>
      <c r="CN469" s="46"/>
      <c r="CO469" s="46"/>
      <c r="CP469" s="46"/>
      <c r="CQ469" s="46"/>
      <c r="CR469" s="46"/>
      <c r="CS469" s="46"/>
      <c r="CT469" s="46"/>
      <c r="CU469" s="46"/>
      <c r="CV469" s="46"/>
      <c r="CW469" s="48"/>
      <c r="CX469" s="46"/>
      <c r="CY469" s="46"/>
      <c r="CZ469" s="48"/>
      <c r="DA469" s="48"/>
      <c r="DB469" s="48"/>
      <c r="DC469" s="48"/>
      <c r="DD469" s="46"/>
      <c r="DE469" s="46"/>
      <c r="DF469" s="48"/>
      <c r="DG469" s="48"/>
      <c r="DH469" s="48"/>
      <c r="DI469" s="49"/>
      <c r="DJ469" s="50"/>
      <c r="DK469" s="50"/>
    </row>
    <row r="470" spans="1:115" s="37" customFormat="1">
      <c r="A470" s="24"/>
      <c r="X470" s="74"/>
      <c r="AB470" s="75"/>
      <c r="AD470" s="78"/>
      <c r="AE470" s="78"/>
      <c r="AG470" s="78"/>
      <c r="AH470" s="80"/>
      <c r="AJ470" s="81"/>
      <c r="AL470" s="85"/>
      <c r="AM470" s="85"/>
      <c r="AO470" s="78"/>
      <c r="AR470" s="81"/>
      <c r="AW470" s="78"/>
      <c r="AZ470" s="81"/>
      <c r="BB470" s="78"/>
      <c r="BD470" s="78"/>
      <c r="BG470" s="81"/>
      <c r="BI470" s="78"/>
      <c r="BK470" s="78"/>
      <c r="BN470" s="81"/>
      <c r="BP470" s="78"/>
      <c r="BQ470" s="78"/>
      <c r="BS470" s="78"/>
      <c r="BV470" s="81"/>
      <c r="BX470" s="78"/>
      <c r="BZ470" s="78"/>
      <c r="CC470" s="45"/>
      <c r="CD470" s="36"/>
      <c r="CE470" s="46"/>
      <c r="CF470" s="46"/>
      <c r="CG470" s="46"/>
      <c r="CH470" s="47"/>
      <c r="CI470" s="47"/>
      <c r="CJ470" s="47"/>
      <c r="CK470" s="46"/>
      <c r="CL470" s="46"/>
      <c r="CM470" s="46"/>
      <c r="CN470" s="46"/>
      <c r="CO470" s="46"/>
      <c r="CP470" s="46"/>
      <c r="CQ470" s="46"/>
      <c r="CR470" s="46"/>
      <c r="CS470" s="46"/>
      <c r="CT470" s="46"/>
      <c r="CU470" s="46"/>
      <c r="CV470" s="46"/>
      <c r="CW470" s="48"/>
      <c r="CX470" s="46"/>
      <c r="CY470" s="46"/>
      <c r="CZ470" s="48"/>
      <c r="DA470" s="48"/>
      <c r="DB470" s="48"/>
      <c r="DC470" s="48"/>
      <c r="DD470" s="46"/>
      <c r="DE470" s="46"/>
      <c r="DF470" s="48"/>
      <c r="DG470" s="48"/>
      <c r="DH470" s="48"/>
      <c r="DI470" s="49"/>
      <c r="DJ470" s="50"/>
      <c r="DK470" s="50"/>
    </row>
    <row r="471" spans="1:115" s="37" customFormat="1">
      <c r="A471" s="24"/>
      <c r="X471" s="74"/>
      <c r="AB471" s="75"/>
      <c r="AD471" s="78"/>
      <c r="AE471" s="78"/>
      <c r="AG471" s="78"/>
      <c r="AH471" s="80"/>
      <c r="AJ471" s="81"/>
      <c r="AL471" s="85"/>
      <c r="AM471" s="85"/>
      <c r="AO471" s="78"/>
      <c r="AR471" s="81"/>
      <c r="AW471" s="78"/>
      <c r="AZ471" s="81"/>
      <c r="BB471" s="78"/>
      <c r="BD471" s="78"/>
      <c r="BG471" s="81"/>
      <c r="BI471" s="78"/>
      <c r="BK471" s="78"/>
      <c r="BN471" s="81"/>
      <c r="BP471" s="78"/>
      <c r="BQ471" s="78"/>
      <c r="BS471" s="78"/>
      <c r="BV471" s="81"/>
      <c r="BX471" s="78"/>
      <c r="BZ471" s="78"/>
      <c r="CC471" s="45"/>
      <c r="CD471" s="36"/>
      <c r="CE471" s="46"/>
      <c r="CF471" s="46"/>
      <c r="CG471" s="46"/>
      <c r="CH471" s="47"/>
      <c r="CI471" s="47"/>
      <c r="CJ471" s="47"/>
      <c r="CK471" s="46"/>
      <c r="CL471" s="46"/>
      <c r="CM471" s="46"/>
      <c r="CN471" s="46"/>
      <c r="CO471" s="46"/>
      <c r="CP471" s="46"/>
      <c r="CQ471" s="46"/>
      <c r="CR471" s="46"/>
      <c r="CS471" s="46"/>
      <c r="CT471" s="46"/>
      <c r="CU471" s="46"/>
      <c r="CV471" s="46"/>
      <c r="CW471" s="48"/>
      <c r="CX471" s="46"/>
      <c r="CY471" s="46"/>
      <c r="CZ471" s="48"/>
      <c r="DA471" s="48"/>
      <c r="DB471" s="48"/>
      <c r="DC471" s="48"/>
      <c r="DD471" s="46"/>
      <c r="DE471" s="46"/>
      <c r="DF471" s="48"/>
      <c r="DG471" s="48"/>
      <c r="DH471" s="48"/>
      <c r="DI471" s="49"/>
      <c r="DJ471" s="50"/>
      <c r="DK471" s="50"/>
    </row>
    <row r="472" spans="1:115" s="37" customFormat="1">
      <c r="A472" s="24"/>
      <c r="X472" s="74"/>
      <c r="AB472" s="75"/>
      <c r="AD472" s="78"/>
      <c r="AE472" s="78"/>
      <c r="AG472" s="78"/>
      <c r="AH472" s="80"/>
      <c r="AJ472" s="81"/>
      <c r="AL472" s="85"/>
      <c r="AM472" s="85"/>
      <c r="AO472" s="78"/>
      <c r="AR472" s="81"/>
      <c r="AW472" s="78"/>
      <c r="AZ472" s="81"/>
      <c r="BB472" s="78"/>
      <c r="BD472" s="78"/>
      <c r="BG472" s="81"/>
      <c r="BI472" s="78"/>
      <c r="BK472" s="78"/>
      <c r="BN472" s="81"/>
      <c r="BP472" s="78"/>
      <c r="BQ472" s="78"/>
      <c r="BS472" s="78"/>
      <c r="BV472" s="81"/>
      <c r="BX472" s="78"/>
      <c r="BZ472" s="78"/>
      <c r="CC472" s="45"/>
      <c r="CD472" s="36"/>
      <c r="CE472" s="46"/>
      <c r="CF472" s="46"/>
      <c r="CG472" s="46"/>
      <c r="CH472" s="47"/>
      <c r="CI472" s="47"/>
      <c r="CJ472" s="47"/>
      <c r="CK472" s="46"/>
      <c r="CL472" s="46"/>
      <c r="CM472" s="46"/>
      <c r="CN472" s="46"/>
      <c r="CO472" s="46"/>
      <c r="CP472" s="46"/>
      <c r="CQ472" s="46"/>
      <c r="CR472" s="46"/>
      <c r="CS472" s="46"/>
      <c r="CT472" s="46"/>
      <c r="CU472" s="46"/>
      <c r="CV472" s="46"/>
      <c r="CW472" s="48"/>
      <c r="CX472" s="46"/>
      <c r="CY472" s="46"/>
      <c r="CZ472" s="48"/>
      <c r="DA472" s="48"/>
      <c r="DB472" s="48"/>
      <c r="DC472" s="48"/>
      <c r="DD472" s="46"/>
      <c r="DE472" s="46"/>
      <c r="DF472" s="48"/>
      <c r="DG472" s="48"/>
      <c r="DH472" s="48"/>
      <c r="DI472" s="49"/>
      <c r="DJ472" s="50"/>
      <c r="DK472" s="50"/>
    </row>
    <row r="473" spans="1:115" s="37" customFormat="1">
      <c r="A473" s="24"/>
      <c r="X473" s="74"/>
      <c r="AB473" s="75"/>
      <c r="AD473" s="78"/>
      <c r="AE473" s="78"/>
      <c r="AG473" s="78"/>
      <c r="AH473" s="80"/>
      <c r="AJ473" s="81"/>
      <c r="AL473" s="85"/>
      <c r="AM473" s="85"/>
      <c r="AO473" s="78"/>
      <c r="AR473" s="81"/>
      <c r="AW473" s="78"/>
      <c r="AZ473" s="81"/>
      <c r="BB473" s="78"/>
      <c r="BD473" s="78"/>
      <c r="BG473" s="81"/>
      <c r="BI473" s="78"/>
      <c r="BK473" s="78"/>
      <c r="BN473" s="81"/>
      <c r="BP473" s="78"/>
      <c r="BQ473" s="78"/>
      <c r="BS473" s="78"/>
      <c r="BV473" s="81"/>
      <c r="BX473" s="78"/>
      <c r="BZ473" s="78"/>
      <c r="CC473" s="45"/>
      <c r="CD473" s="36"/>
      <c r="CE473" s="46"/>
      <c r="CF473" s="46"/>
      <c r="CG473" s="46"/>
      <c r="CH473" s="47"/>
      <c r="CI473" s="47"/>
      <c r="CJ473" s="47"/>
      <c r="CK473" s="46"/>
      <c r="CL473" s="46"/>
      <c r="CM473" s="46"/>
      <c r="CN473" s="46"/>
      <c r="CO473" s="46"/>
      <c r="CP473" s="46"/>
      <c r="CQ473" s="46"/>
      <c r="CR473" s="46"/>
      <c r="CS473" s="46"/>
      <c r="CT473" s="46"/>
      <c r="CU473" s="46"/>
      <c r="CV473" s="46"/>
      <c r="CW473" s="48"/>
      <c r="CX473" s="46"/>
      <c r="CY473" s="46"/>
      <c r="CZ473" s="48"/>
      <c r="DA473" s="48"/>
      <c r="DB473" s="48"/>
      <c r="DC473" s="48"/>
      <c r="DD473" s="46"/>
      <c r="DE473" s="46"/>
      <c r="DF473" s="48"/>
      <c r="DG473" s="48"/>
      <c r="DH473" s="48"/>
      <c r="DI473" s="49"/>
      <c r="DJ473" s="50"/>
      <c r="DK473" s="50"/>
    </row>
  </sheetData>
  <sheetProtection algorithmName="SHA-512" hashValue="XlyGTScE+2I7cd3zFIS1wJzHc+/1pdBJ/latR4tJMxlrBdkF9AuhoibL48yQLHTIJiVQw63KC0s+Bwr741DfRA==" saltValue="b6DjfrYcygDigDEk3z/b2g==" spinCount="100000" sheet="1" objects="1" scenarios="1"/>
  <protectedRanges>
    <protectedRange algorithmName="SHA-512" hashValue="JkwGMkyN6uDZy9K3UnLYKHbONkTneyvcBkZbw832pf3/OvzPn47/tOjWWFkoHruJFqsDNzL3ZtFhUW1rxpiesQ==" saltValue="hiIEQ6ppq6xjmWFZjcvCAg==" spinCount="100000" sqref="CR146:CS147 CR157:CS158 CX146:CY147 CX157:CY158 DD146:DE147 DD157:DE158 CN142:CO145 CK146:CP147 CK157:CP158 CK141:CK145 CN150:CO155 CK150:CL155 CR150:CR155 CZ152:DA155 CX150:CX155 DD150:DD155" name="Rango1_10"/>
    <protectedRange algorithmName="SHA-512" hashValue="JkwGMkyN6uDZy9K3UnLYKHbONkTneyvcBkZbw832pf3/OvzPn47/tOjWWFkoHruJFqsDNzL3ZtFhUW1rxpiesQ==" saltValue="hiIEQ6ppq6xjmWFZjcvCAg==" spinCount="100000" sqref="CR156 CN156:CO156 CK156:CL156 DD156 CZ156:DA156 CX156" name="Rango1_10_2"/>
  </protectedRanges>
  <mergeCells count="271">
    <mergeCell ref="DW331:DW332"/>
    <mergeCell ref="DX331:DX332"/>
    <mergeCell ref="DY331:DY332"/>
    <mergeCell ref="DZ331:DZ332"/>
    <mergeCell ref="EA331:EA332"/>
    <mergeCell ref="B2:N3"/>
    <mergeCell ref="CP167:CP168"/>
    <mergeCell ref="CP187:CP188"/>
    <mergeCell ref="CP196:CP197"/>
    <mergeCell ref="CP213:CP214"/>
    <mergeCell ref="CP220:CP221"/>
    <mergeCell ref="CR220:CR221"/>
    <mergeCell ref="CS220:CS221"/>
    <mergeCell ref="CT220:CT221"/>
    <mergeCell ref="DT331:DT332"/>
    <mergeCell ref="CN167:CN168"/>
    <mergeCell ref="CN187:CN188"/>
    <mergeCell ref="CN196:CN197"/>
    <mergeCell ref="CN213:CN214"/>
    <mergeCell ref="CN220:CN221"/>
    <mergeCell ref="CN332:CN333"/>
    <mergeCell ref="CJ202:CJ203"/>
    <mergeCell ref="CJ208:CJ209"/>
    <mergeCell ref="CJ213:CJ214"/>
    <mergeCell ref="CN370:CN371"/>
    <mergeCell ref="CO167:CO168"/>
    <mergeCell ref="CO187:CO188"/>
    <mergeCell ref="CO196:CO197"/>
    <mergeCell ref="CO213:CO214"/>
    <mergeCell ref="CO220:CO221"/>
    <mergeCell ref="CO332:CO333"/>
    <mergeCell ref="CO370:CO371"/>
    <mergeCell ref="CK220:CK221"/>
    <mergeCell ref="CK332:CK333"/>
    <mergeCell ref="CK370:CK371"/>
    <mergeCell ref="CL167:CL168"/>
    <mergeCell ref="CL187:CL188"/>
    <mergeCell ref="CL196:CL197"/>
    <mergeCell ref="CL213:CL214"/>
    <mergeCell ref="CM220:CM221"/>
    <mergeCell ref="CM332:CM333"/>
    <mergeCell ref="CM370:CM371"/>
    <mergeCell ref="CK331:CO331"/>
    <mergeCell ref="CH332:CH333"/>
    <mergeCell ref="CH370:CH371"/>
    <mergeCell ref="CH381:CH382"/>
    <mergeCell ref="CH397:CH398"/>
    <mergeCell ref="CI317:CI318"/>
    <mergeCell ref="CI332:CI333"/>
    <mergeCell ref="CI370:CI371"/>
    <mergeCell ref="CI381:CI382"/>
    <mergeCell ref="CI397:CI398"/>
    <mergeCell ref="CF331:CJ331"/>
    <mergeCell ref="CI208:CI209"/>
    <mergeCell ref="CI213:CI214"/>
    <mergeCell ref="CJ220:CJ221"/>
    <mergeCell ref="CI220:CI221"/>
    <mergeCell ref="CJ317:CJ318"/>
    <mergeCell ref="CJ332:CJ333"/>
    <mergeCell ref="CJ370:CJ371"/>
    <mergeCell ref="CJ381:CJ382"/>
    <mergeCell ref="CJ397:CJ398"/>
    <mergeCell ref="CD317:CD318"/>
    <mergeCell ref="CD332:CD333"/>
    <mergeCell ref="CD370:CD371"/>
    <mergeCell ref="CD381:CD382"/>
    <mergeCell ref="CD397:CD398"/>
    <mergeCell ref="CE317:CE318"/>
    <mergeCell ref="CE397:CE398"/>
    <mergeCell ref="CF138:CF139"/>
    <mergeCell ref="CF148:CF149"/>
    <mergeCell ref="CF159:CF160"/>
    <mergeCell ref="CF167:CF168"/>
    <mergeCell ref="CF187:CF188"/>
    <mergeCell ref="CF196:CF197"/>
    <mergeCell ref="CF202:CF203"/>
    <mergeCell ref="CF208:CF209"/>
    <mergeCell ref="CF213:CF214"/>
    <mergeCell ref="CF220:CF221"/>
    <mergeCell ref="CF317:CF318"/>
    <mergeCell ref="CF332:CF333"/>
    <mergeCell ref="CF370:CF371"/>
    <mergeCell ref="CF381:CF382"/>
    <mergeCell ref="CF397:CF398"/>
    <mergeCell ref="CD148:CD149"/>
    <mergeCell ref="CD159:CD160"/>
    <mergeCell ref="AM332:AQ332"/>
    <mergeCell ref="B14:B15"/>
    <mergeCell ref="B25:B26"/>
    <mergeCell ref="B27:B28"/>
    <mergeCell ref="B33:B34"/>
    <mergeCell ref="B47:B48"/>
    <mergeCell ref="B49:B50"/>
    <mergeCell ref="B55:B56"/>
    <mergeCell ref="B72:B73"/>
    <mergeCell ref="B74:B75"/>
    <mergeCell ref="B80:B81"/>
    <mergeCell ref="B82:B85"/>
    <mergeCell ref="B86:B91"/>
    <mergeCell ref="B92:B96"/>
    <mergeCell ref="B97:B101"/>
    <mergeCell ref="B102:B104"/>
    <mergeCell ref="B105:B109"/>
    <mergeCell ref="Z81:AA81"/>
    <mergeCell ref="AH81:AI81"/>
    <mergeCell ref="AP81:AQ81"/>
    <mergeCell ref="Z56:AA56"/>
    <mergeCell ref="AH56:AI56"/>
    <mergeCell ref="AP56:AQ56"/>
    <mergeCell ref="Z34:AA34"/>
    <mergeCell ref="CD167:CD168"/>
    <mergeCell ref="CD187:CD188"/>
    <mergeCell ref="CD196:CD197"/>
    <mergeCell ref="CD202:CD203"/>
    <mergeCell ref="CD208:CD209"/>
    <mergeCell ref="CD213:CD214"/>
    <mergeCell ref="CD220:CD221"/>
    <mergeCell ref="Z118:AA118"/>
    <mergeCell ref="AH118:AI118"/>
    <mergeCell ref="AP118:AQ118"/>
    <mergeCell ref="AX118:AY118"/>
    <mergeCell ref="BE118:BF118"/>
    <mergeCell ref="BL118:BM118"/>
    <mergeCell ref="BT118:BU118"/>
    <mergeCell ref="CK138:CV138"/>
    <mergeCell ref="CW138:DH138"/>
    <mergeCell ref="CA117:CA118"/>
    <mergeCell ref="CB117:CB118"/>
    <mergeCell ref="CH138:CH139"/>
    <mergeCell ref="CJ138:CJ139"/>
    <mergeCell ref="CI138:CI139"/>
    <mergeCell ref="CK159:CV159"/>
    <mergeCell ref="CW159:DH159"/>
    <mergeCell ref="CI148:CI149"/>
    <mergeCell ref="CI159:CI160"/>
    <mergeCell ref="DU331:DV331"/>
    <mergeCell ref="EB331:EC331"/>
    <mergeCell ref="ED331:EE331"/>
    <mergeCell ref="CH148:CH149"/>
    <mergeCell ref="CH159:CH160"/>
    <mergeCell ref="CH167:CH168"/>
    <mergeCell ref="CH187:CH188"/>
    <mergeCell ref="CH196:CH197"/>
    <mergeCell ref="CH202:CH203"/>
    <mergeCell ref="CH208:CH209"/>
    <mergeCell ref="CH213:CH214"/>
    <mergeCell ref="CH220:CH221"/>
    <mergeCell ref="CH317:CH318"/>
    <mergeCell ref="CJ148:CJ149"/>
    <mergeCell ref="CJ159:CJ160"/>
    <mergeCell ref="CJ167:CJ168"/>
    <mergeCell ref="CJ187:CJ188"/>
    <mergeCell ref="CJ196:CJ197"/>
    <mergeCell ref="CK148:CV148"/>
    <mergeCell ref="CW148:DH148"/>
    <mergeCell ref="CI167:CI168"/>
    <mergeCell ref="CI187:CI188"/>
    <mergeCell ref="CI196:CI197"/>
    <mergeCell ref="CI202:CI203"/>
    <mergeCell ref="AX81:AY81"/>
    <mergeCell ref="BE81:BF81"/>
    <mergeCell ref="BL81:BM81"/>
    <mergeCell ref="BT81:BU81"/>
    <mergeCell ref="B116:CB116"/>
    <mergeCell ref="F117:T117"/>
    <mergeCell ref="U117:Y117"/>
    <mergeCell ref="Z117:AG117"/>
    <mergeCell ref="AH117:AO117"/>
    <mergeCell ref="AP117:AW117"/>
    <mergeCell ref="AX117:BD117"/>
    <mergeCell ref="BE117:BK117"/>
    <mergeCell ref="BL117:BS117"/>
    <mergeCell ref="BT117:BZ117"/>
    <mergeCell ref="D80:D81"/>
    <mergeCell ref="D117:D118"/>
    <mergeCell ref="E80:E81"/>
    <mergeCell ref="E117:E118"/>
    <mergeCell ref="CA80:CA81"/>
    <mergeCell ref="CB80:CB81"/>
    <mergeCell ref="B117:B118"/>
    <mergeCell ref="C80:C81"/>
    <mergeCell ref="C117:C118"/>
    <mergeCell ref="AX56:AY56"/>
    <mergeCell ref="BE56:BF56"/>
    <mergeCell ref="BL56:BM56"/>
    <mergeCell ref="BT56:BU56"/>
    <mergeCell ref="B79:CB79"/>
    <mergeCell ref="F80:T80"/>
    <mergeCell ref="U80:Y80"/>
    <mergeCell ref="Z80:AG80"/>
    <mergeCell ref="AH80:AO80"/>
    <mergeCell ref="AP80:AW80"/>
    <mergeCell ref="AX80:BD80"/>
    <mergeCell ref="BE80:BK80"/>
    <mergeCell ref="BL80:BS80"/>
    <mergeCell ref="BT80:BZ80"/>
    <mergeCell ref="D55:D56"/>
    <mergeCell ref="E55:E56"/>
    <mergeCell ref="CA55:CA56"/>
    <mergeCell ref="CB55:CB56"/>
    <mergeCell ref="C55:C56"/>
    <mergeCell ref="AH34:AI34"/>
    <mergeCell ref="AP34:AQ34"/>
    <mergeCell ref="AX34:AY34"/>
    <mergeCell ref="BE34:BF34"/>
    <mergeCell ref="BL34:BM34"/>
    <mergeCell ref="BT34:BU34"/>
    <mergeCell ref="B54:CB54"/>
    <mergeCell ref="F55:T55"/>
    <mergeCell ref="U55:Y55"/>
    <mergeCell ref="Z55:AG55"/>
    <mergeCell ref="AH55:AO55"/>
    <mergeCell ref="AP55:AW55"/>
    <mergeCell ref="AX55:BD55"/>
    <mergeCell ref="BE55:BK55"/>
    <mergeCell ref="BL55:BS55"/>
    <mergeCell ref="BT55:BZ55"/>
    <mergeCell ref="D33:D34"/>
    <mergeCell ref="E33:E34"/>
    <mergeCell ref="CA33:CA34"/>
    <mergeCell ref="CB33:CB34"/>
    <mergeCell ref="C33:C34"/>
    <mergeCell ref="Z15:AA15"/>
    <mergeCell ref="AH15:AI15"/>
    <mergeCell ref="AP15:AQ15"/>
    <mergeCell ref="AX15:AY15"/>
    <mergeCell ref="BE15:BF15"/>
    <mergeCell ref="BL15:BM15"/>
    <mergeCell ref="BT15:BU15"/>
    <mergeCell ref="B32:CB32"/>
    <mergeCell ref="F33:T33"/>
    <mergeCell ref="U33:Y33"/>
    <mergeCell ref="Z33:AG33"/>
    <mergeCell ref="AH33:AO33"/>
    <mergeCell ref="AP33:AW33"/>
    <mergeCell ref="AX33:BD33"/>
    <mergeCell ref="BE33:BK33"/>
    <mergeCell ref="BL33:BS33"/>
    <mergeCell ref="BT33:BZ33"/>
    <mergeCell ref="E14:E15"/>
    <mergeCell ref="CA14:CA15"/>
    <mergeCell ref="CB14:CB15"/>
    <mergeCell ref="C14:C15"/>
    <mergeCell ref="D14:D15"/>
    <mergeCell ref="C9:E9"/>
    <mergeCell ref="F9:G9"/>
    <mergeCell ref="H9:N9"/>
    <mergeCell ref="C10:E10"/>
    <mergeCell ref="F10:G10"/>
    <mergeCell ref="H10:N10"/>
    <mergeCell ref="B12:CB12"/>
    <mergeCell ref="B13:CB13"/>
    <mergeCell ref="F14:T14"/>
    <mergeCell ref="U14:Y14"/>
    <mergeCell ref="Z14:AG14"/>
    <mergeCell ref="AH14:AO14"/>
    <mergeCell ref="AP14:AW14"/>
    <mergeCell ref="AX14:BD14"/>
    <mergeCell ref="BE14:BK14"/>
    <mergeCell ref="BL14:BS14"/>
    <mergeCell ref="BT14:BZ14"/>
    <mergeCell ref="B5:N5"/>
    <mergeCell ref="C6:E6"/>
    <mergeCell ref="F6:G6"/>
    <mergeCell ref="H6:N6"/>
    <mergeCell ref="C7:E7"/>
    <mergeCell ref="F7:G7"/>
    <mergeCell ref="H7:N7"/>
    <mergeCell ref="C8:E8"/>
    <mergeCell ref="F8:G8"/>
    <mergeCell ref="H8:N8"/>
  </mergeCells>
  <dataValidations count="44">
    <dataValidation type="list" allowBlank="1" showInputMessage="1" showErrorMessage="1" sqref="E97:E101" xr:uid="{00000000-0002-0000-0100-000000000000}">
      <formula1>$CD$334:$CD$366</formula1>
    </dataValidation>
    <dataValidation type="list" allowBlank="1" showInputMessage="1" showErrorMessage="1" sqref="E90:E91" xr:uid="{00000000-0002-0000-0100-000001000000}">
      <formula1>$CD$266</formula1>
    </dataValidation>
    <dataValidation type="list" allowBlank="1" showInputMessage="1" showErrorMessage="1" sqref="E64:E67" xr:uid="{00000000-0002-0000-0100-000002000000}">
      <formula1>$CD$189:$CD$193</formula1>
    </dataValidation>
    <dataValidation type="list" allowBlank="1" showInputMessage="1" showErrorMessage="1" sqref="E61:E62" xr:uid="{00000000-0002-0000-0100-000003000000}">
      <formula1>$CD$182:$CD$184</formula1>
    </dataValidation>
    <dataValidation type="list" allowBlank="1" showInputMessage="1" showErrorMessage="1" sqref="E57:E60" xr:uid="{00000000-0002-0000-0100-000004000000}">
      <formula1>$CD$169:$CD$181</formula1>
    </dataValidation>
    <dataValidation type="list" allowBlank="1" showInputMessage="1" showErrorMessage="1" sqref="E72:E73" xr:uid="{00000000-0002-0000-0100-000005000000}">
      <formula1>$CD$267:$CD$279</formula1>
    </dataValidation>
    <dataValidation type="list" allowBlank="1" showInputMessage="1" showErrorMessage="1" sqref="E35:E38" xr:uid="{00000000-0002-0000-0100-000006000000}">
      <formula1>$CD$140:$CD$145</formula1>
    </dataValidation>
    <dataValidation type="list" allowBlank="1" showInputMessage="1" showErrorMessage="1" sqref="E27:E28 E49:E50" xr:uid="{00000000-0002-0000-0100-000007000000}">
      <formula1>$CD$204:$CD$205</formula1>
    </dataValidation>
    <dataValidation type="list" allowBlank="1" showInputMessage="1" showErrorMessage="1" sqref="E102:E104" xr:uid="{00000000-0002-0000-0100-000008000000}">
      <formula1>$CD$372:$CD$378</formula1>
    </dataValidation>
    <dataValidation type="list" allowBlank="1" showInputMessage="1" showErrorMessage="1" sqref="E16:E19" xr:uid="{00000000-0002-0000-0100-000009000000}">
      <formula1>$CD$150:$CD$156</formula1>
    </dataValidation>
    <dataValidation type="custom" allowBlank="1" showInputMessage="1" showErrorMessage="1" error="En esta celda solamente puede ingresar valores numéricos de las emisiones, en toneladas de CO2e/año" sqref="D103:D105" xr:uid="{00000000-0002-0000-0100-00000A000000}">
      <formula1>ISNUMBER(D103:D206)</formula1>
    </dataValidation>
    <dataValidation type="list" allowBlank="1" showInputMessage="1" showErrorMessage="1" sqref="E88:E89" xr:uid="{00000000-0002-0000-0100-00000B000000}">
      <formula1>$CD$247:$CD$248</formula1>
    </dataValidation>
    <dataValidation type="list" allowBlank="1" showInputMessage="1" showErrorMessage="1" sqref="E82:E85" xr:uid="{00000000-0002-0000-0100-00000C000000}">
      <formula1>$CD$222:$CD$241</formula1>
    </dataValidation>
    <dataValidation type="custom" allowBlank="1" showInputMessage="1" showErrorMessage="1" error="En esta celda solamente puede ingresar valores numéricos de las emisiones, en toneladas de CO2e/año" sqref="D84:D85" xr:uid="{00000000-0002-0000-0100-00000D000000}">
      <formula1>ISNUMBER(D84:D193)</formula1>
    </dataValidation>
    <dataValidation type="custom" allowBlank="1" showInputMessage="1" showErrorMessage="1" error="En esta celda solamente puede ingresar valores numéricos de las emisiones, en toneladas de CO2e/año" sqref="D70:D71" xr:uid="{00000000-0002-0000-0100-00000E000000}">
      <formula1>ISNUMBER(D70:D182)</formula1>
    </dataValidation>
    <dataValidation type="custom" allowBlank="1" showInputMessage="1" showErrorMessage="1" error="En esta celda solamente puede ingresar valores numéricos de las emisiones, en toneladas de CO2e/año" sqref="D64:D67" xr:uid="{00000000-0002-0000-0100-000010000000}">
      <formula1>ISNUMBER(D64:D177)</formula1>
    </dataValidation>
    <dataValidation type="custom" allowBlank="1" showInputMessage="1" showErrorMessage="1" error="En esta celda solamente puede ingresar valores numéricos de las emisiones, en toneladas de CO2e/año" sqref="D90:D91 D93:D97" xr:uid="{00000000-0002-0000-0100-000011000000}">
      <formula1>ISNUMBER(D90:D196)</formula1>
    </dataValidation>
    <dataValidation type="custom" allowBlank="1" showInputMessage="1" showErrorMessage="1" error="En esta celda solamente puede ingresar valores numéricos de las emisiones, en toneladas de CO2e/año" sqref="D16:D23 D25:D28 D35:D45 D47:D50 D57:D58" xr:uid="{00000000-0002-0000-0100-000012000000}">
      <formula1>ISNUMBER(D16:D136)</formula1>
    </dataValidation>
    <dataValidation type="custom" allowBlank="1" showInputMessage="1" showErrorMessage="1" error="En esta celda solamente puede ingresar valores numéricos de las emisiones, en toneladas de CO2e/año" sqref="D83" xr:uid="{00000000-0002-0000-0100-000013000000}">
      <formula1>ISNUMBER(D83:D193)</formula1>
    </dataValidation>
    <dataValidation type="custom" allowBlank="1" showInputMessage="1" showErrorMessage="1" error="En esta celda solamente puede ingresar valores numéricos de las emisiones, en toneladas de CO2e/año" sqref="D119 D88:D89" xr:uid="{00000000-0002-0000-0100-000014000000}">
      <formula1>ISNUMBER(D88:D195)</formula1>
    </dataValidation>
    <dataValidation type="list" allowBlank="1" showInputMessage="1" showErrorMessage="1" sqref="C119 C16:C23 C25:C28 C35:C45 C47:C50 C57:C62 C64:C67 C69:C75 C82:C111" xr:uid="{00000000-0002-0000-0100-000015000000}">
      <formula1>$CE$134:$CE$135</formula1>
    </dataValidation>
    <dataValidation type="list" allowBlank="1" showInputMessage="1" showErrorMessage="1" sqref="E86:E87" xr:uid="{00000000-0002-0000-0100-000016000000}">
      <formula1>$CD$249:$CD$265</formula1>
    </dataValidation>
    <dataValidation type="custom" allowBlank="1" showInputMessage="1" showErrorMessage="1" error="En esta celda solamente puede ingresar valores numéricos de las emisiones, en toneladas de CO2e/año" sqref="D98:D102" xr:uid="{00000000-0002-0000-0100-000017000000}">
      <formula1>ISNUMBER(D98:D202)</formula1>
    </dataValidation>
    <dataValidation type="list" allowBlank="1" showInputMessage="1" showErrorMessage="1" sqref="C112" xr:uid="{00000000-0002-0000-0100-000018000000}">
      <formula1>$CE$134:$CE$134</formula1>
    </dataValidation>
    <dataValidation type="list" allowBlank="1" showInputMessage="1" showErrorMessage="1" sqref="E110" xr:uid="{00000000-0002-0000-0100-000019000000}">
      <formula1>$CD$390:$CD$392</formula1>
    </dataValidation>
    <dataValidation type="list" allowBlank="1" showInputMessage="1" showErrorMessage="1" sqref="E111" xr:uid="{00000000-0002-0000-0100-00001A000000}">
      <formula1>$CD$242</formula1>
    </dataValidation>
    <dataValidation type="list" allowBlank="1" showInputMessage="1" showErrorMessage="1" sqref="E39:E42" xr:uid="{00000000-0002-0000-0100-00001B000000}">
      <formula1>$CD$150:$CD$154</formula1>
    </dataValidation>
    <dataValidation type="list" allowBlank="1" showInputMessage="1" showErrorMessage="1" sqref="E26 E48" xr:uid="{00000000-0002-0000-0100-00001C000000}">
      <formula1>$CD$199</formula1>
    </dataValidation>
    <dataValidation type="list" allowBlank="1" showInputMessage="1" showErrorMessage="1" sqref="E20:E23" xr:uid="{00000000-0002-0000-0100-00001D000000}">
      <formula1>$CD$161:$CD$163</formula1>
    </dataValidation>
    <dataValidation type="custom" allowBlank="1" showInputMessage="1" showErrorMessage="1" error="En esta celda solamente puede ingresar valores numéricos de las emisiones, en toneladas de CO2e/año" sqref="D106:D112" xr:uid="{00000000-0002-0000-0100-00001E000000}">
      <formula1>ISNUMBER(D106:D207)</formula1>
    </dataValidation>
    <dataValidation type="custom" allowBlank="1" showInputMessage="1" showErrorMessage="1" error="En esta celda solamente puede ingresar valores numéricos de las emisiones, en toneladas de CO2e/año" sqref="D82 D72:D75" xr:uid="{00000000-0002-0000-0100-00001F000000}">
      <formula1>ISNUMBER(D72:D183)</formula1>
    </dataValidation>
    <dataValidation type="list" allowBlank="1" showInputMessage="1" showErrorMessage="1" sqref="E92:E96" xr:uid="{00000000-0002-0000-0100-000020000000}">
      <formula1>$CD$319:$CD$328</formula1>
    </dataValidation>
    <dataValidation type="list" allowBlank="1" showInputMessage="1" showErrorMessage="1" sqref="E71" xr:uid="{00000000-0002-0000-0100-000021000000}">
      <formula1>$CD$215</formula1>
    </dataValidation>
    <dataValidation type="list" allowBlank="1" showInputMessage="1" showErrorMessage="1" sqref="E70" xr:uid="{00000000-0002-0000-0100-000022000000}">
      <formula1>$CD$210</formula1>
    </dataValidation>
    <dataValidation type="custom" allowBlank="1" showInputMessage="1" showErrorMessage="1" error="En esta celda solamente puede ingresar valores numéricos de las emisiones, en toneladas de CO2e/año" sqref="D69" xr:uid="{00000000-0002-0000-0100-000023000000}">
      <formula1>ISNUMBER(D69:D183)</formula1>
    </dataValidation>
    <dataValidation type="list" allowBlank="1" showInputMessage="1" showErrorMessage="1" sqref="E43:E45" xr:uid="{00000000-0002-0000-0100-000024000000}">
      <formula1>$CD$161:$CD$165</formula1>
    </dataValidation>
    <dataValidation type="list" allowBlank="1" showInputMessage="1" showErrorMessage="1" sqref="E69" xr:uid="{00000000-0002-0000-0100-000025000000}">
      <formula1>$CD$243:$CD$246</formula1>
    </dataValidation>
    <dataValidation type="list" allowBlank="1" showInputMessage="1" showErrorMessage="1" sqref="E74:E75" xr:uid="{00000000-0002-0000-0100-000026000000}">
      <formula1>$CD$280:$CD$314</formula1>
    </dataValidation>
    <dataValidation type="custom" allowBlank="1" showInputMessage="1" showErrorMessage="1" error="En esta celda solamente puede ingresar valores numéricos de los datos de actividad seleccionados" sqref="G28:R28 G47:R50 G64:R67 G18:R23 G69:R75 G44:R45 G88:R89 G40:R42 G94:L111 G82:R85 G36:R38 G25:R26 M92:R111 G57:R62" xr:uid="{00000000-0002-0000-0100-000027000000}">
      <formula1>ISNUMBER(G18:R18)</formula1>
    </dataValidation>
    <dataValidation type="list" allowBlank="1" showInputMessage="1" showErrorMessage="1" sqref="E105:E109" xr:uid="{00000000-0002-0000-0100-000028000000}">
      <formula1>$CD$383:$CD$389</formula1>
    </dataValidation>
    <dataValidation type="custom" allowBlank="1" showInputMessage="1" showErrorMessage="1" error="En esta celda solamente puede ingresar valores numéricos de las emisiones, en toneladas de CO2e/año" sqref="D92 D86:D87" xr:uid="{00000000-0002-0000-0100-000029000000}">
      <formula1>ISNUMBER(D86:D194)</formula1>
    </dataValidation>
    <dataValidation type="custom" allowBlank="1" showInputMessage="1" showErrorMessage="1" error="En esta celda solamente puede ingresar valores numéricos de las emisiones, en toneladas de CO2e/año" sqref="D59:D62" xr:uid="{00000000-0002-0000-0100-00002A000000}">
      <formula1>ISNUMBER(D59:D177)</formula1>
    </dataValidation>
    <dataValidation type="list" allowBlank="1" showInputMessage="1" showErrorMessage="1" sqref="E25 E47" xr:uid="{00000000-0002-0000-0100-00002B000000}">
      <formula1>$CD$198</formula1>
    </dataValidation>
    <dataValidation type="list" allowBlank="1" showInputMessage="1" showErrorMessage="1" sqref="E119" xr:uid="{00000000-0002-0000-0100-00000F000000}">
      <formula1>$CD$399:$CD$403</formula1>
    </dataValidation>
  </dataValidations>
  <hyperlinks>
    <hyperlink ref="S15" location="'INSTRUCCIONES INCERTIDUMBRE'!C21" display="TOTAL" xr:uid="{00000000-0004-0000-0100-000000000000}"/>
    <hyperlink ref="T15" location="'INSTRUCCIONES INCERTIDUMBRE'!C22" display="No. DATOS" xr:uid="{00000000-0004-0000-0100-000001000000}"/>
    <hyperlink ref="U15" location="'INSTRUCCIONES INCERTIDUMBRE'!C23" display="PROMEDIO" xr:uid="{00000000-0004-0000-0100-000002000000}"/>
    <hyperlink ref="V15" location="'INSTRUCCIONES INCERTIDUMBRE'!C24" display="DESVIACION ESTÁNDAR" xr:uid="{00000000-0004-0000-0100-000003000000}"/>
    <hyperlink ref="W15" location="'INSTRUCCIONES INCERTIDUMBRE'!C25" display="FACTOR T" xr:uid="{00000000-0004-0000-0100-000004000000}"/>
    <hyperlink ref="Y15" location="'INSTRUCCIONES INCERTIDUMBRE'!C26" display="INCERTIDUMBRE DATOS" xr:uid="{00000000-0004-0000-0100-000005000000}"/>
    <hyperlink ref="CA14:CA15" location="'INSTRUCCIONES INCERTIDUMBRE'!C32" display="HUELLA DE CARBONO_x000a_(t CO2 eq)" xr:uid="{00000000-0004-0000-0100-000006000000}"/>
    <hyperlink ref="CB14:CB15" location="'INSTRUCCIONES INCERTIDUMBRE'!C34" display="INCERTIDUMBRE DE LA FUENTE" xr:uid="{00000000-0004-0000-0100-000007000000}"/>
    <hyperlink ref="F15" location="'INSTRUCCIONES INCERTIDUMBRE'!C19" display="UNIDAD" xr:uid="{00000000-0004-0000-0100-000008000000}"/>
    <hyperlink ref="G15" location="'HC CORPORATIVA-INCERTIDUMBRE'!C20" display="DATO 1" xr:uid="{00000000-0004-0000-0100-000009000000}"/>
    <hyperlink ref="CP176" r:id="rId1" xr:uid="{00000000-0004-0000-0100-00000A000000}"/>
    <hyperlink ref="S34" location="'INSTRUCCIONES INCERTIDUMBRE'!C21" display="TOTAL" xr:uid="{00000000-0004-0000-0100-00000B000000}"/>
    <hyperlink ref="T34" location="'INSTRUCCIONES INCERTIDUMBRE'!C22" display="No. DATOS" xr:uid="{00000000-0004-0000-0100-00000C000000}"/>
    <hyperlink ref="U34" location="'INSTRUCCIONES INCERTIDUMBRE'!C23" display="PROMEDIO" xr:uid="{00000000-0004-0000-0100-00000D000000}"/>
    <hyperlink ref="V34" location="'INSTRUCCIONES INCERTIDUMBRE'!C24" display="DESVIACION ESTÁNDAR" xr:uid="{00000000-0004-0000-0100-00000E000000}"/>
    <hyperlink ref="W34" location="'INSTRUCCIONES INCERTIDUMBRE'!C25" display="FACTOR T" xr:uid="{00000000-0004-0000-0100-00000F000000}"/>
    <hyperlink ref="Y34" location="'INSTRUCCIONES INCERTIDUMBRE'!C26" display="INCERTIDUMBRE DATOS" xr:uid="{00000000-0004-0000-0100-000010000000}"/>
    <hyperlink ref="CA33:CA34" location="'INSTRUCCIONES INCERTIDUMBRE'!C32" display="HUELLA DE CARBONO_x000a_(t CO2 eq)" xr:uid="{00000000-0004-0000-0100-000011000000}"/>
    <hyperlink ref="CB33:CB34" location="'INSTRUCCIONES INCERTIDUMBRE'!C34" display="INCERTIDUMBRE DE LA FUENTE" xr:uid="{00000000-0004-0000-0100-000012000000}"/>
    <hyperlink ref="F34" location="'INSTRUCCIONES INCERTIDUMBRE'!C19" display="UNIDAD" xr:uid="{00000000-0004-0000-0100-000013000000}"/>
    <hyperlink ref="G34" location="'HC CORPORATIVA-INCERTIDUMBRE'!C20" display="DATO 1" xr:uid="{00000000-0004-0000-0100-000014000000}"/>
    <hyperlink ref="S81" location="'INSTRUCCIONES INCERTIDUMBRE'!C21" display="TOTAL" xr:uid="{00000000-0004-0000-0100-000015000000}"/>
    <hyperlink ref="T81" location="'INSTRUCCIONES INCERTIDUMBRE'!C22" display="No. DATOS" xr:uid="{00000000-0004-0000-0100-000016000000}"/>
    <hyperlink ref="U81" location="'INSTRUCCIONES INCERTIDUMBRE'!C23" display="PROMEDIO" xr:uid="{00000000-0004-0000-0100-000017000000}"/>
    <hyperlink ref="V81" location="'INSTRUCCIONES INCERTIDUMBRE'!C24" display="DESVIACION ESTÁNDAR" xr:uid="{00000000-0004-0000-0100-000018000000}"/>
    <hyperlink ref="W81" location="'INSTRUCCIONES INCERTIDUMBRE'!C25" display="FACTOR T" xr:uid="{00000000-0004-0000-0100-000019000000}"/>
    <hyperlink ref="Y81" location="'INSTRUCCIONES INCERTIDUMBRE'!C26" display="INCERTIDUMBRE DATOS" xr:uid="{00000000-0004-0000-0100-00001A000000}"/>
    <hyperlink ref="CA80:CA81" location="'INSTRUCCIONES INCERTIDUMBRE'!C32" display="HUELLA DE CARBONO_x000a_(tCO2eq)" xr:uid="{00000000-0004-0000-0100-00001B000000}"/>
    <hyperlink ref="CB80:CB81" location="'INSTRUCCIONES INCERTIDUMBRE'!C34" display="INCERTIDUMBRE DE LA FUENTE" xr:uid="{00000000-0004-0000-0100-00001C000000}"/>
    <hyperlink ref="F81" location="'INSTRUCCIONES INCERTIDUMBRE'!C19" display="UNIDAD" xr:uid="{00000000-0004-0000-0100-00001D000000}"/>
    <hyperlink ref="G81" location="'HC CORPORATIVA-INCERTIDUMBRE'!C20" display="DATO 1" xr:uid="{00000000-0004-0000-0100-00001E000000}"/>
    <hyperlink ref="S118" location="'INSTRUCCIONES INCERTIDUMBRE'!C21" display="TOTAL" xr:uid="{00000000-0004-0000-0100-00001F000000}"/>
    <hyperlink ref="T118" location="'INSTRUCCIONES INCERTIDUMBRE'!C22" display="No. DATOS" xr:uid="{00000000-0004-0000-0100-000020000000}"/>
    <hyperlink ref="U118" location="'INSTRUCCIONES INCERTIDUMBRE'!C23" display="PROMEDIO" xr:uid="{00000000-0004-0000-0100-000021000000}"/>
    <hyperlink ref="V118" location="'INSTRUCCIONES INCERTIDUMBRE'!C24" display="DESVIACION ESTÁNDAR" xr:uid="{00000000-0004-0000-0100-000022000000}"/>
    <hyperlink ref="W118" location="'INSTRUCCIONES INCERTIDUMBRE'!C25" display="FACTOR T" xr:uid="{00000000-0004-0000-0100-000023000000}"/>
    <hyperlink ref="Y118" location="'INSTRUCCIONES INCERTIDUMBRE'!C26" display="INCERTIDUMBRE DATOS" xr:uid="{00000000-0004-0000-0100-000024000000}"/>
    <hyperlink ref="CA117:CA118" location="'INSTRUCCIONES INCERTIDUMBRE'!C32" display="HUELLA DE CARBONO_x000a_(tCO2eq)" xr:uid="{00000000-0004-0000-0100-000025000000}"/>
    <hyperlink ref="CB117:CB118" location="'INSTRUCCIONES INCERTIDUMBRE'!C34" display="INCERTIDUMBRE DE LA FUENTE" xr:uid="{00000000-0004-0000-0100-000026000000}"/>
    <hyperlink ref="F118" location="'INSTRUCCIONES INCERTIDUMBRE'!C19" display="UNIDAD" xr:uid="{00000000-0004-0000-0100-000027000000}"/>
    <hyperlink ref="G118" location="'HC CORPORATIVA-INCERTIDUMBRE'!C20" display="DATO 1" xr:uid="{00000000-0004-0000-0100-000028000000}"/>
    <hyperlink ref="S56" location="'INSTRUCCIONES INCERTIDUMBRE'!C21" display="TOTAL" xr:uid="{00000000-0004-0000-0100-000029000000}"/>
    <hyperlink ref="T56" location="'INSTRUCCIONES INCERTIDUMBRE'!C22" display="No. DATOS" xr:uid="{00000000-0004-0000-0100-00002A000000}"/>
    <hyperlink ref="U56" location="'INSTRUCCIONES INCERTIDUMBRE'!C23" display="PROMEDIO" xr:uid="{00000000-0004-0000-0100-00002B000000}"/>
    <hyperlink ref="V56" location="'INSTRUCCIONES INCERTIDUMBRE'!C24" display="DESVIACION ESTÁNDAR" xr:uid="{00000000-0004-0000-0100-00002C000000}"/>
    <hyperlink ref="W56" location="'INSTRUCCIONES INCERTIDUMBRE'!C25" display="FACTOR T" xr:uid="{00000000-0004-0000-0100-00002D000000}"/>
    <hyperlink ref="Y56" location="'INSTRUCCIONES INCERTIDUMBRE'!C26" display="INCERTIDUMBRE DATOS" xr:uid="{00000000-0004-0000-0100-00002E000000}"/>
    <hyperlink ref="CA55:CA56" location="'INSTRUCCIONES INCERTIDUMBRE'!C32" display="HUELLA DE CARBONO_x000a_(tCO2eq)" xr:uid="{00000000-0004-0000-0100-00002F000000}"/>
    <hyperlink ref="CB55:CB56" location="'INSTRUCCIONES INCERTIDUMBRE'!C34" display="INCERTIDUMBRE DE LA FUENTE" xr:uid="{00000000-0004-0000-0100-000030000000}"/>
    <hyperlink ref="F56" location="'INSTRUCCIONES INCERTIDUMBRE'!C19" display="UNIDAD" xr:uid="{00000000-0004-0000-0100-000031000000}"/>
    <hyperlink ref="G56" location="'HC CORPORATIVA-INCERTIDUMBRE'!C20" display="DATO 1" xr:uid="{00000000-0004-0000-0100-000032000000}"/>
  </hyperlinks>
  <pageMargins left="0.7" right="0.7" top="0.75" bottom="0.75" header="0.3" footer="0.3"/>
  <pageSetup scale="10" orientation="portrait" r:id="rId2"/>
  <colBreaks count="1" manualBreakCount="1">
    <brk id="80" max="1048575" man="1"/>
  </colBreaks>
  <ignoredErrors>
    <ignoredError sqref="BQ71 BQ63:BR68" formula="1"/>
  </ignoredError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2FB9CE"/>
  </sheetPr>
  <dimension ref="B1:BW88"/>
  <sheetViews>
    <sheetView zoomScale="60" zoomScaleNormal="60" workbookViewId="0">
      <selection activeCell="C7" sqref="C7:G7"/>
    </sheetView>
  </sheetViews>
  <sheetFormatPr defaultColWidth="11.375" defaultRowHeight="14.25"/>
  <cols>
    <col min="1" max="1" width="5.375" style="19" customWidth="1"/>
    <col min="2" max="2" width="37.875" style="19" customWidth="1"/>
    <col min="3" max="3" width="17.75" style="19" customWidth="1"/>
    <col min="4" max="4" width="21.125" style="19" customWidth="1"/>
    <col min="5" max="5" width="17.75" style="19" customWidth="1"/>
    <col min="6" max="6" width="21.875" style="19" customWidth="1"/>
    <col min="7" max="7" width="12.375" style="19" customWidth="1"/>
    <col min="8" max="8" width="17.875" style="19" customWidth="1"/>
    <col min="9" max="9" width="17.75" style="19" customWidth="1"/>
    <col min="10" max="10" width="20.875" style="19" customWidth="1"/>
    <col min="11" max="11" width="13.25" style="19" customWidth="1"/>
    <col min="12" max="13" width="20.875" style="19" customWidth="1"/>
    <col min="14" max="14" width="28.75" style="19" customWidth="1"/>
    <col min="15" max="15" width="22.875" style="19" customWidth="1"/>
    <col min="16" max="16" width="29" style="19" customWidth="1"/>
    <col min="17" max="17" width="55.375" style="19" customWidth="1"/>
    <col min="18" max="18" width="46.375" style="19" customWidth="1"/>
    <col min="19" max="19" width="20.875" style="19" customWidth="1"/>
    <col min="20" max="20" width="11.75" style="20" customWidth="1"/>
    <col min="21" max="21" width="14.875" style="20" customWidth="1"/>
    <col min="22" max="22" width="11.75" style="20" customWidth="1"/>
    <col min="23" max="24" width="11.75" style="21" customWidth="1"/>
    <col min="25" max="26" width="11.75" style="20" customWidth="1"/>
    <col min="27" max="27" width="14.875" style="20" customWidth="1"/>
    <col min="28" max="28" width="11.75" style="22" customWidth="1"/>
    <col min="29" max="30" width="11.75" style="23" customWidth="1"/>
    <col min="31" max="35" width="11.75" style="24" customWidth="1"/>
    <col min="36" max="36" width="11.375" style="24" customWidth="1"/>
    <col min="37" max="37" width="13.375" style="24" customWidth="1"/>
    <col min="38" max="38" width="14.875" style="24" customWidth="1"/>
    <col min="39" max="47" width="11.375" style="24" customWidth="1"/>
    <col min="48" max="62" width="11.375" style="24"/>
    <col min="63" max="70" width="11.375" style="25"/>
    <col min="71" max="16384" width="11.375" style="19"/>
  </cols>
  <sheetData>
    <row r="1" spans="2:70" ht="27" customHeight="1">
      <c r="B1" s="19" t="s">
        <v>143</v>
      </c>
      <c r="F1" s="27"/>
      <c r="G1" s="27"/>
      <c r="H1" s="27"/>
      <c r="I1" s="27"/>
      <c r="J1" s="27"/>
      <c r="K1" s="27"/>
      <c r="L1" s="27"/>
      <c r="M1" s="27"/>
      <c r="N1" s="27"/>
      <c r="O1" s="27"/>
      <c r="P1" s="27"/>
      <c r="Q1" s="27"/>
      <c r="R1" s="27"/>
      <c r="S1" s="27"/>
    </row>
    <row r="2" spans="2:70" ht="18.75" customHeight="1">
      <c r="B2" s="666" t="s">
        <v>742</v>
      </c>
      <c r="C2" s="667"/>
      <c r="D2" s="667"/>
      <c r="E2" s="667"/>
      <c r="F2" s="667"/>
      <c r="G2" s="667"/>
      <c r="H2" s="667"/>
      <c r="I2" s="667"/>
      <c r="J2" s="667"/>
      <c r="K2" s="667"/>
      <c r="L2" s="667"/>
      <c r="M2" s="667"/>
      <c r="N2" s="667"/>
      <c r="O2" s="667"/>
      <c r="P2" s="668"/>
      <c r="Q2" s="30"/>
      <c r="R2" s="30"/>
      <c r="S2" s="30"/>
    </row>
    <row r="3" spans="2:70" ht="28.5" customHeight="1">
      <c r="B3" s="669"/>
      <c r="C3" s="670"/>
      <c r="D3" s="670"/>
      <c r="E3" s="670"/>
      <c r="F3" s="670"/>
      <c r="G3" s="670"/>
      <c r="H3" s="670"/>
      <c r="I3" s="670"/>
      <c r="J3" s="670"/>
      <c r="K3" s="670"/>
      <c r="L3" s="670"/>
      <c r="M3" s="670"/>
      <c r="N3" s="670"/>
      <c r="O3" s="670"/>
      <c r="P3" s="671"/>
      <c r="Q3" s="30"/>
      <c r="R3" s="30"/>
      <c r="S3" s="30"/>
    </row>
    <row r="4" spans="2:70" ht="19.5" customHeight="1">
      <c r="B4" s="215"/>
      <c r="C4" s="215"/>
      <c r="D4" s="215"/>
      <c r="E4" s="231"/>
      <c r="F4" s="26"/>
      <c r="G4" s="26"/>
      <c r="H4" s="28"/>
      <c r="I4" s="28"/>
      <c r="J4" s="28"/>
      <c r="K4" s="28"/>
      <c r="L4" s="28"/>
      <c r="M4" s="28"/>
      <c r="N4" s="28"/>
      <c r="O4" s="28"/>
      <c r="P4" s="28"/>
      <c r="Q4" s="28"/>
      <c r="R4" s="28"/>
      <c r="S4" s="28"/>
    </row>
    <row r="5" spans="2:70" ht="18.75" customHeight="1">
      <c r="B5" s="510" t="s">
        <v>145</v>
      </c>
      <c r="C5" s="511"/>
      <c r="D5" s="511"/>
      <c r="E5" s="511"/>
      <c r="F5" s="511"/>
      <c r="G5" s="511"/>
      <c r="H5" s="511"/>
      <c r="I5" s="511"/>
      <c r="J5" s="511"/>
      <c r="K5" s="511"/>
      <c r="L5" s="511"/>
      <c r="M5" s="511"/>
      <c r="N5" s="511"/>
      <c r="O5" s="511"/>
      <c r="P5" s="512"/>
      <c r="Q5" s="31"/>
      <c r="R5" s="31"/>
      <c r="S5" s="31"/>
    </row>
    <row r="6" spans="2:70" ht="21.6" customHeight="1">
      <c r="B6" s="335" t="s">
        <v>146</v>
      </c>
      <c r="C6" s="617">
        <f>EMISIONES!C6</f>
        <v>0</v>
      </c>
      <c r="D6" s="618"/>
      <c r="E6" s="618"/>
      <c r="F6" s="618"/>
      <c r="G6" s="619"/>
      <c r="H6" s="620" t="s">
        <v>147</v>
      </c>
      <c r="I6" s="621"/>
      <c r="J6" s="617">
        <f>EMISIONES!H6</f>
        <v>0</v>
      </c>
      <c r="K6" s="618"/>
      <c r="L6" s="618"/>
      <c r="M6" s="618"/>
      <c r="N6" s="618"/>
      <c r="O6" s="618"/>
      <c r="P6" s="619"/>
      <c r="Q6" s="490"/>
      <c r="R6" s="20"/>
      <c r="S6" s="20"/>
      <c r="U6" s="21"/>
      <c r="V6" s="21"/>
      <c r="W6" s="20"/>
      <c r="X6" s="20"/>
      <c r="Z6" s="22"/>
      <c r="AA6" s="23"/>
      <c r="AB6" s="23"/>
      <c r="AC6" s="24"/>
      <c r="AD6" s="24"/>
      <c r="BI6" s="25"/>
      <c r="BJ6" s="25"/>
      <c r="BQ6" s="19"/>
      <c r="BR6" s="19"/>
    </row>
    <row r="7" spans="2:70" ht="21.6" customHeight="1">
      <c r="B7" s="336" t="s">
        <v>148</v>
      </c>
      <c r="C7" s="523">
        <f>EMISIONES!C7</f>
        <v>0</v>
      </c>
      <c r="D7" s="524"/>
      <c r="E7" s="524"/>
      <c r="F7" s="524"/>
      <c r="G7" s="525"/>
      <c r="H7" s="622" t="s">
        <v>149</v>
      </c>
      <c r="I7" s="623"/>
      <c r="J7" s="523">
        <f>EMISIONES!H7</f>
        <v>0</v>
      </c>
      <c r="K7" s="524"/>
      <c r="L7" s="524"/>
      <c r="M7" s="524"/>
      <c r="N7" s="524"/>
      <c r="O7" s="524"/>
      <c r="P7" s="525"/>
      <c r="Q7" s="490"/>
      <c r="R7" s="20"/>
      <c r="S7" s="20"/>
      <c r="U7" s="21"/>
      <c r="V7" s="21"/>
      <c r="W7" s="20"/>
      <c r="X7" s="20"/>
      <c r="Z7" s="22"/>
      <c r="AA7" s="23"/>
      <c r="AB7" s="23"/>
      <c r="AC7" s="24"/>
      <c r="AD7" s="24"/>
      <c r="BI7" s="25"/>
      <c r="BJ7" s="25"/>
      <c r="BQ7" s="19"/>
      <c r="BR7" s="19"/>
    </row>
    <row r="8" spans="2:70" ht="21.6" customHeight="1">
      <c r="B8" s="336" t="s">
        <v>150</v>
      </c>
      <c r="C8" s="523">
        <f>EMISIONES!C8</f>
        <v>0</v>
      </c>
      <c r="D8" s="524"/>
      <c r="E8" s="524"/>
      <c r="F8" s="524"/>
      <c r="G8" s="525"/>
      <c r="H8" s="622" t="s">
        <v>151</v>
      </c>
      <c r="I8" s="623"/>
      <c r="J8" s="523">
        <f>EMISIONES!H8</f>
        <v>0</v>
      </c>
      <c r="K8" s="524"/>
      <c r="L8" s="524"/>
      <c r="M8" s="524"/>
      <c r="N8" s="524"/>
      <c r="O8" s="524"/>
      <c r="P8" s="525"/>
      <c r="Q8" s="490"/>
      <c r="R8" s="20"/>
      <c r="S8" s="20"/>
      <c r="U8" s="21"/>
      <c r="V8" s="21"/>
      <c r="W8" s="20"/>
      <c r="X8" s="20"/>
      <c r="Z8" s="22"/>
      <c r="AA8" s="23"/>
      <c r="AB8" s="23"/>
      <c r="AC8" s="24"/>
      <c r="AD8" s="24"/>
      <c r="BI8" s="25"/>
      <c r="BJ8" s="25"/>
      <c r="BQ8" s="19"/>
      <c r="BR8" s="19"/>
    </row>
    <row r="9" spans="2:70" ht="21.6" customHeight="1">
      <c r="B9" s="336" t="s">
        <v>152</v>
      </c>
      <c r="C9" s="523">
        <f>EMISIONES!C9</f>
        <v>0</v>
      </c>
      <c r="D9" s="524"/>
      <c r="E9" s="524"/>
      <c r="F9" s="524"/>
      <c r="G9" s="525"/>
      <c r="H9" s="622"/>
      <c r="I9" s="623"/>
      <c r="J9" s="523"/>
      <c r="K9" s="524"/>
      <c r="L9" s="524"/>
      <c r="M9" s="524"/>
      <c r="N9" s="524"/>
      <c r="O9" s="524"/>
      <c r="P9" s="525"/>
      <c r="Q9" s="490"/>
      <c r="R9" s="20"/>
      <c r="S9" s="20"/>
      <c r="U9" s="21"/>
      <c r="V9" s="21"/>
      <c r="W9" s="20"/>
      <c r="X9" s="20"/>
      <c r="Z9" s="22"/>
      <c r="AA9" s="23"/>
      <c r="AB9" s="23"/>
      <c r="AC9" s="24"/>
      <c r="AD9" s="24"/>
      <c r="BI9" s="25"/>
      <c r="BJ9" s="25"/>
      <c r="BQ9" s="19"/>
      <c r="BR9" s="19"/>
    </row>
    <row r="10" spans="2:70" ht="21.6" customHeight="1">
      <c r="B10" s="337" t="s">
        <v>153</v>
      </c>
      <c r="C10" s="624">
        <f>EMISIONES!C10</f>
        <v>0</v>
      </c>
      <c r="D10" s="625"/>
      <c r="E10" s="625"/>
      <c r="F10" s="625"/>
      <c r="G10" s="626"/>
      <c r="H10" s="627" t="s">
        <v>154</v>
      </c>
      <c r="I10" s="628"/>
      <c r="J10" s="624">
        <f>EMISIONES!H10</f>
        <v>0</v>
      </c>
      <c r="K10" s="625"/>
      <c r="L10" s="625"/>
      <c r="M10" s="625"/>
      <c r="N10" s="625"/>
      <c r="O10" s="625"/>
      <c r="P10" s="626"/>
      <c r="Q10" s="490"/>
      <c r="R10" s="20"/>
      <c r="S10" s="20"/>
      <c r="U10" s="34"/>
      <c r="V10" s="34"/>
      <c r="W10" s="20"/>
      <c r="X10" s="20"/>
      <c r="Z10" s="22"/>
      <c r="AA10" s="23"/>
      <c r="AB10" s="23"/>
      <c r="AC10" s="24"/>
      <c r="AD10" s="24"/>
      <c r="BI10" s="25"/>
      <c r="BJ10" s="25"/>
      <c r="BQ10" s="19"/>
      <c r="BR10" s="19"/>
    </row>
    <row r="11" spans="2:70">
      <c r="B11" s="432"/>
      <c r="C11" s="432"/>
      <c r="D11" s="432"/>
      <c r="E11" s="433"/>
      <c r="F11" s="433"/>
      <c r="G11" s="433"/>
      <c r="H11" s="29"/>
      <c r="I11" s="29"/>
      <c r="J11" s="29"/>
      <c r="K11" s="29"/>
      <c r="L11" s="29"/>
      <c r="M11" s="29"/>
      <c r="N11" s="29"/>
      <c r="O11" s="29"/>
      <c r="P11" s="29"/>
      <c r="Q11" s="29"/>
      <c r="R11" s="29"/>
      <c r="S11" s="29"/>
      <c r="W11" s="34"/>
      <c r="X11" s="34"/>
    </row>
    <row r="12" spans="2:70">
      <c r="B12" s="26"/>
      <c r="C12" s="26"/>
      <c r="D12" s="26"/>
      <c r="E12" s="26"/>
      <c r="F12" s="26"/>
      <c r="G12" s="26"/>
      <c r="H12" s="26"/>
      <c r="I12" s="26"/>
      <c r="J12" s="26"/>
      <c r="K12" s="26"/>
      <c r="L12" s="26"/>
      <c r="M12" s="26"/>
      <c r="N12" s="26"/>
      <c r="O12" s="26"/>
      <c r="P12" s="26"/>
      <c r="Q12" s="26"/>
      <c r="R12" s="26"/>
      <c r="S12" s="26"/>
    </row>
    <row r="13" spans="2:70" ht="32.1" customHeight="1">
      <c r="B13" s="629" t="s">
        <v>85</v>
      </c>
      <c r="C13" s="630"/>
      <c r="D13" s="630"/>
      <c r="E13" s="630"/>
      <c r="F13" s="630"/>
      <c r="G13" s="630"/>
      <c r="H13" s="630"/>
      <c r="I13" s="630"/>
      <c r="J13" s="630"/>
      <c r="K13" s="630"/>
      <c r="L13" s="630"/>
      <c r="M13" s="630"/>
      <c r="N13" s="630"/>
      <c r="O13" s="630"/>
      <c r="P13" s="631"/>
      <c r="Q13" s="32"/>
      <c r="R13" s="32"/>
      <c r="S13" s="33"/>
      <c r="T13" s="24"/>
      <c r="U13" s="24"/>
      <c r="V13" s="24"/>
      <c r="W13" s="24"/>
      <c r="X13" s="24"/>
      <c r="Y13" s="24"/>
      <c r="Z13" s="24"/>
      <c r="AA13" s="24"/>
      <c r="AB13" s="24"/>
      <c r="AC13" s="24"/>
      <c r="AD13" s="24"/>
      <c r="AY13" s="25"/>
      <c r="AZ13" s="25"/>
      <c r="BA13" s="25"/>
      <c r="BB13" s="25"/>
      <c r="BC13" s="25"/>
      <c r="BD13" s="25"/>
      <c r="BE13" s="25"/>
      <c r="BF13" s="25"/>
      <c r="BG13" s="19"/>
      <c r="BH13" s="19"/>
      <c r="BI13" s="19"/>
      <c r="BJ13" s="19"/>
      <c r="BK13" s="19"/>
      <c r="BL13" s="19"/>
      <c r="BM13" s="19"/>
      <c r="BN13" s="19"/>
      <c r="BO13" s="19"/>
      <c r="BP13" s="19"/>
      <c r="BQ13" s="19"/>
      <c r="BR13" s="19"/>
    </row>
    <row r="14" spans="2:70" ht="15.4">
      <c r="B14" s="632"/>
      <c r="C14" s="633"/>
      <c r="D14" s="633"/>
      <c r="E14" s="633"/>
      <c r="F14" s="633"/>
      <c r="G14" s="633"/>
      <c r="H14" s="633"/>
      <c r="I14" s="633"/>
      <c r="J14" s="633"/>
      <c r="K14" s="633"/>
      <c r="L14" s="633"/>
      <c r="M14" s="633"/>
      <c r="N14" s="633"/>
      <c r="O14" s="633"/>
      <c r="P14" s="634"/>
      <c r="Q14" s="32"/>
      <c r="R14" s="32"/>
      <c r="S14" s="33"/>
      <c r="T14" s="24"/>
      <c r="U14" s="24"/>
      <c r="V14" s="24"/>
      <c r="W14" s="24"/>
      <c r="X14" s="24"/>
      <c r="Y14" s="24"/>
      <c r="Z14" s="24"/>
      <c r="AA14" s="24"/>
      <c r="AB14" s="24"/>
      <c r="AC14" s="24"/>
      <c r="AD14" s="24"/>
      <c r="AY14" s="25"/>
      <c r="AZ14" s="25"/>
      <c r="BA14" s="25"/>
      <c r="BB14" s="25"/>
      <c r="BC14" s="25"/>
      <c r="BD14" s="25"/>
      <c r="BE14" s="25"/>
      <c r="BF14" s="25"/>
      <c r="BG14" s="19"/>
      <c r="BH14" s="19"/>
      <c r="BI14" s="19"/>
      <c r="BJ14" s="19"/>
      <c r="BK14" s="19"/>
      <c r="BL14" s="19"/>
      <c r="BM14" s="19"/>
      <c r="BN14" s="19"/>
      <c r="BO14" s="19"/>
      <c r="BP14" s="19"/>
      <c r="BQ14" s="19"/>
      <c r="BR14" s="19"/>
    </row>
    <row r="15" spans="2:70" ht="60" customHeight="1">
      <c r="B15" s="635" t="s">
        <v>86</v>
      </c>
      <c r="C15" s="636"/>
      <c r="D15" s="338" t="s">
        <v>743</v>
      </c>
      <c r="E15" s="637" t="s">
        <v>744</v>
      </c>
      <c r="F15" s="637"/>
      <c r="G15" s="637"/>
      <c r="H15" s="637"/>
      <c r="I15" s="637"/>
      <c r="J15" s="637" t="s">
        <v>745</v>
      </c>
      <c r="K15" s="637"/>
      <c r="L15" s="637"/>
      <c r="M15" s="637"/>
      <c r="N15" s="637" t="s">
        <v>56</v>
      </c>
      <c r="O15" s="637"/>
      <c r="P15" s="638"/>
      <c r="Q15" s="491"/>
      <c r="R15" s="32"/>
      <c r="S15" s="32"/>
      <c r="T15" s="33"/>
      <c r="U15" s="24"/>
      <c r="V15" s="24"/>
      <c r="W15" s="24"/>
      <c r="X15" s="24"/>
      <c r="Y15" s="24"/>
      <c r="Z15" s="24"/>
      <c r="AA15" s="24"/>
      <c r="AB15" s="24"/>
      <c r="AC15" s="24"/>
      <c r="AD15" s="24"/>
      <c r="AZ15" s="25"/>
      <c r="BA15" s="25"/>
      <c r="BB15" s="25"/>
      <c r="BC15" s="25"/>
      <c r="BD15" s="25"/>
      <c r="BE15" s="25"/>
      <c r="BF15" s="25"/>
      <c r="BG15" s="25"/>
      <c r="BH15" s="19"/>
      <c r="BI15" s="19"/>
      <c r="BJ15" s="19"/>
      <c r="BK15" s="19"/>
      <c r="BL15" s="19"/>
      <c r="BM15" s="19"/>
      <c r="BN15" s="19"/>
      <c r="BO15" s="19"/>
      <c r="BP15" s="19"/>
      <c r="BQ15" s="19"/>
      <c r="BR15" s="19"/>
    </row>
    <row r="16" spans="2:70" ht="60.6" customHeight="1">
      <c r="B16" s="639"/>
      <c r="C16" s="640"/>
      <c r="D16" s="339"/>
      <c r="E16" s="641"/>
      <c r="F16" s="641"/>
      <c r="G16" s="641"/>
      <c r="H16" s="641"/>
      <c r="I16" s="641"/>
      <c r="J16" s="642"/>
      <c r="K16" s="642"/>
      <c r="L16" s="642"/>
      <c r="M16" s="642"/>
      <c r="N16" s="643"/>
      <c r="O16" s="644"/>
      <c r="P16" s="645"/>
      <c r="Q16" s="491"/>
      <c r="R16" s="32"/>
      <c r="S16" s="32"/>
      <c r="T16" s="33"/>
      <c r="U16" s="24"/>
      <c r="V16" s="24"/>
      <c r="W16" s="24"/>
      <c r="X16" s="24"/>
      <c r="Y16" s="24"/>
      <c r="Z16" s="24"/>
      <c r="AA16" s="24"/>
      <c r="AB16" s="24"/>
      <c r="AC16" s="24"/>
      <c r="AD16" s="24"/>
      <c r="AZ16" s="25"/>
      <c r="BA16" s="25"/>
      <c r="BB16" s="25"/>
      <c r="BC16" s="25"/>
      <c r="BD16" s="25"/>
      <c r="BE16" s="25"/>
      <c r="BF16" s="25"/>
      <c r="BG16" s="25"/>
      <c r="BH16" s="19"/>
      <c r="BI16" s="19"/>
      <c r="BJ16" s="19"/>
      <c r="BK16" s="19"/>
      <c r="BL16" s="19"/>
      <c r="BM16" s="19"/>
      <c r="BN16" s="19"/>
      <c r="BO16" s="19"/>
      <c r="BP16" s="19"/>
      <c r="BQ16" s="19"/>
      <c r="BR16" s="19"/>
    </row>
    <row r="17" spans="2:75" ht="60.6" customHeight="1">
      <c r="B17" s="639"/>
      <c r="C17" s="640"/>
      <c r="D17" s="339"/>
      <c r="E17" s="641"/>
      <c r="F17" s="641"/>
      <c r="G17" s="641"/>
      <c r="H17" s="641"/>
      <c r="I17" s="641"/>
      <c r="J17" s="646"/>
      <c r="K17" s="646"/>
      <c r="L17" s="646"/>
      <c r="M17" s="646"/>
      <c r="N17" s="643"/>
      <c r="O17" s="644"/>
      <c r="P17" s="645"/>
      <c r="Q17" s="491"/>
      <c r="R17" s="32"/>
      <c r="S17" s="32"/>
      <c r="T17" s="33"/>
      <c r="U17" s="24"/>
      <c r="V17" s="24"/>
      <c r="W17" s="24"/>
      <c r="X17" s="24"/>
      <c r="Y17" s="24"/>
      <c r="Z17" s="24"/>
      <c r="AA17" s="24"/>
      <c r="AB17" s="24"/>
      <c r="AC17" s="24"/>
      <c r="AD17" s="24"/>
      <c r="AZ17" s="25"/>
      <c r="BA17" s="25"/>
      <c r="BB17" s="25"/>
      <c r="BC17" s="25"/>
      <c r="BD17" s="25"/>
      <c r="BE17" s="25"/>
      <c r="BF17" s="25"/>
      <c r="BG17" s="25"/>
      <c r="BH17" s="19"/>
      <c r="BI17" s="19"/>
      <c r="BJ17" s="19"/>
      <c r="BK17" s="19"/>
      <c r="BL17" s="19"/>
      <c r="BM17" s="19"/>
      <c r="BN17" s="19"/>
      <c r="BO17" s="19"/>
      <c r="BP17" s="19"/>
      <c r="BQ17" s="19"/>
      <c r="BR17" s="19"/>
    </row>
    <row r="18" spans="2:75" ht="60.6" customHeight="1">
      <c r="B18" s="639"/>
      <c r="C18" s="640"/>
      <c r="D18" s="339"/>
      <c r="E18" s="641"/>
      <c r="F18" s="641"/>
      <c r="G18" s="641"/>
      <c r="H18" s="641"/>
      <c r="I18" s="641"/>
      <c r="J18" s="642"/>
      <c r="K18" s="642"/>
      <c r="L18" s="642"/>
      <c r="M18" s="642"/>
      <c r="N18" s="647"/>
      <c r="O18" s="647"/>
      <c r="P18" s="648"/>
      <c r="Q18" s="491"/>
      <c r="R18" s="32"/>
      <c r="S18" s="32"/>
      <c r="T18" s="33"/>
      <c r="U18" s="24"/>
      <c r="V18" s="24"/>
      <c r="W18" s="24"/>
      <c r="X18" s="24"/>
      <c r="Y18" s="24"/>
      <c r="Z18" s="24"/>
      <c r="AA18" s="24"/>
      <c r="AB18" s="24"/>
      <c r="AC18" s="24"/>
      <c r="AD18" s="24"/>
      <c r="AZ18" s="25"/>
      <c r="BA18" s="25"/>
      <c r="BB18" s="25"/>
      <c r="BC18" s="25"/>
      <c r="BD18" s="25"/>
      <c r="BE18" s="25"/>
      <c r="BF18" s="25"/>
      <c r="BG18" s="25"/>
      <c r="BH18" s="19"/>
      <c r="BI18" s="19"/>
      <c r="BJ18" s="19"/>
      <c r="BK18" s="19"/>
      <c r="BL18" s="19"/>
      <c r="BM18" s="19"/>
      <c r="BN18" s="19"/>
      <c r="BO18" s="19"/>
      <c r="BP18" s="19"/>
      <c r="BQ18" s="19"/>
      <c r="BR18" s="19"/>
    </row>
    <row r="19" spans="2:75" ht="60.6" customHeight="1">
      <c r="B19" s="649"/>
      <c r="C19" s="650"/>
      <c r="D19" s="340"/>
      <c r="E19" s="651"/>
      <c r="F19" s="651"/>
      <c r="G19" s="651"/>
      <c r="H19" s="651"/>
      <c r="I19" s="651"/>
      <c r="J19" s="652"/>
      <c r="K19" s="652"/>
      <c r="L19" s="652"/>
      <c r="M19" s="652"/>
      <c r="N19" s="653"/>
      <c r="O19" s="653"/>
      <c r="P19" s="654"/>
      <c r="Q19" s="491"/>
      <c r="R19" s="32"/>
      <c r="S19" s="32"/>
      <c r="T19" s="33"/>
      <c r="U19" s="24"/>
      <c r="V19" s="24"/>
      <c r="W19" s="24"/>
      <c r="X19" s="24"/>
      <c r="Y19" s="24"/>
      <c r="Z19" s="24"/>
      <c r="AA19" s="24"/>
      <c r="AB19" s="24"/>
      <c r="AC19" s="24"/>
      <c r="AD19" s="24"/>
      <c r="AZ19" s="25"/>
      <c r="BA19" s="25"/>
      <c r="BB19" s="25"/>
      <c r="BC19" s="25"/>
      <c r="BD19" s="25"/>
      <c r="BE19" s="25"/>
      <c r="BF19" s="25"/>
      <c r="BG19" s="25"/>
      <c r="BH19" s="19"/>
      <c r="BI19" s="19"/>
      <c r="BJ19" s="19"/>
      <c r="BK19" s="19"/>
      <c r="BL19" s="19"/>
      <c r="BM19" s="19"/>
      <c r="BN19" s="19"/>
      <c r="BO19" s="19"/>
      <c r="BP19" s="19"/>
      <c r="BQ19" s="19"/>
      <c r="BR19" s="19"/>
    </row>
    <row r="20" spans="2:75">
      <c r="B20" s="26"/>
      <c r="C20" s="26"/>
      <c r="D20" s="26"/>
      <c r="E20" s="26"/>
      <c r="F20" s="26"/>
      <c r="G20" s="26"/>
      <c r="H20" s="26"/>
      <c r="I20" s="26"/>
      <c r="J20" s="26"/>
      <c r="K20" s="26"/>
      <c r="L20" s="26"/>
      <c r="M20" s="26"/>
      <c r="N20" s="26"/>
      <c r="O20" s="26"/>
      <c r="P20" s="26"/>
      <c r="Q20" s="26"/>
      <c r="R20" s="26"/>
      <c r="S20" s="26"/>
    </row>
    <row r="21" spans="2:75" ht="30.4">
      <c r="B21" s="629" t="s">
        <v>100</v>
      </c>
      <c r="C21" s="630"/>
      <c r="D21" s="630"/>
      <c r="E21" s="630"/>
      <c r="F21" s="630"/>
      <c r="G21" s="630"/>
      <c r="H21" s="630"/>
      <c r="I21" s="630"/>
      <c r="J21" s="631"/>
      <c r="K21" s="26"/>
      <c r="L21" s="26"/>
      <c r="M21" s="341"/>
      <c r="N21" s="341"/>
      <c r="O21" s="341"/>
      <c r="P21" s="342"/>
      <c r="Q21" s="342"/>
      <c r="R21" s="20"/>
      <c r="S21" s="20"/>
      <c r="U21" s="22"/>
      <c r="V21" s="23"/>
      <c r="W21" s="23"/>
      <c r="X21" s="24"/>
      <c r="Y21" s="24"/>
      <c r="Z21" s="24"/>
      <c r="AA21" s="24"/>
      <c r="AB21" s="24"/>
      <c r="AC21" s="24"/>
      <c r="AD21" s="24"/>
      <c r="BD21" s="25"/>
      <c r="BE21" s="25"/>
      <c r="BF21" s="25"/>
      <c r="BG21" s="25"/>
      <c r="BH21" s="25"/>
      <c r="BI21" s="25"/>
      <c r="BJ21" s="25"/>
      <c r="BL21" s="19"/>
      <c r="BM21" s="19"/>
      <c r="BN21" s="19"/>
      <c r="BO21" s="19"/>
      <c r="BP21" s="19"/>
      <c r="BQ21" s="19"/>
      <c r="BR21" s="19"/>
    </row>
    <row r="22" spans="2:75" ht="15.4">
      <c r="B22" s="632"/>
      <c r="C22" s="633"/>
      <c r="D22" s="633"/>
      <c r="E22" s="633"/>
      <c r="F22" s="633"/>
      <c r="G22" s="633"/>
      <c r="H22" s="633"/>
      <c r="I22" s="633"/>
      <c r="J22" s="634"/>
      <c r="K22" s="26"/>
      <c r="L22" s="26"/>
      <c r="M22" s="341"/>
      <c r="N22" s="341"/>
      <c r="O22" s="341"/>
      <c r="P22" s="342"/>
      <c r="Q22" s="342"/>
      <c r="R22" s="20"/>
      <c r="S22" s="20"/>
      <c r="U22" s="22"/>
      <c r="V22" s="23"/>
      <c r="W22" s="23"/>
      <c r="X22" s="24"/>
      <c r="Y22" s="24"/>
      <c r="Z22" s="24"/>
      <c r="AA22" s="24"/>
      <c r="AB22" s="24"/>
      <c r="AC22" s="24"/>
      <c r="AD22" s="24"/>
      <c r="BD22" s="25"/>
      <c r="BE22" s="25"/>
      <c r="BF22" s="25"/>
      <c r="BG22" s="25"/>
      <c r="BH22" s="25"/>
      <c r="BI22" s="25"/>
      <c r="BJ22" s="25"/>
      <c r="BL22" s="19"/>
      <c r="BM22" s="19"/>
      <c r="BN22" s="19"/>
      <c r="BO22" s="19"/>
      <c r="BP22" s="19"/>
      <c r="BQ22" s="19"/>
      <c r="BR22" s="19"/>
    </row>
    <row r="23" spans="2:75" ht="54" customHeight="1">
      <c r="B23" s="635" t="s">
        <v>746</v>
      </c>
      <c r="C23" s="656"/>
      <c r="D23" s="636"/>
      <c r="E23" s="657" t="s">
        <v>747</v>
      </c>
      <c r="F23" s="656"/>
      <c r="G23" s="636"/>
      <c r="H23" s="637" t="s">
        <v>748</v>
      </c>
      <c r="I23" s="637"/>
      <c r="J23" s="638"/>
      <c r="K23" s="26"/>
      <c r="L23" s="26"/>
      <c r="M23" s="341"/>
      <c r="N23" s="341"/>
      <c r="O23" s="341"/>
      <c r="P23" s="342"/>
      <c r="Q23" s="342"/>
      <c r="R23" s="20"/>
      <c r="S23" s="20"/>
      <c r="U23" s="22"/>
      <c r="V23" s="23"/>
      <c r="W23" s="23"/>
      <c r="X23" s="24"/>
      <c r="Y23" s="24"/>
      <c r="Z23" s="24"/>
      <c r="AA23" s="24"/>
      <c r="AB23" s="24"/>
      <c r="AC23" s="24"/>
      <c r="AD23" s="24"/>
      <c r="BD23" s="25"/>
      <c r="BE23" s="25"/>
      <c r="BF23" s="25"/>
      <c r="BG23" s="25"/>
      <c r="BH23" s="25"/>
      <c r="BI23" s="25"/>
      <c r="BJ23" s="25"/>
      <c r="BL23" s="19"/>
      <c r="BM23" s="19"/>
      <c r="BN23" s="19"/>
      <c r="BO23" s="19"/>
      <c r="BP23" s="19"/>
      <c r="BQ23" s="19"/>
      <c r="BR23" s="19"/>
    </row>
    <row r="24" spans="2:75" ht="106.5" customHeight="1">
      <c r="B24" s="649"/>
      <c r="C24" s="658"/>
      <c r="D24" s="650"/>
      <c r="E24" s="659"/>
      <c r="F24" s="660"/>
      <c r="G24" s="661"/>
      <c r="H24" s="662"/>
      <c r="I24" s="663"/>
      <c r="J24" s="343" t="s">
        <v>749</v>
      </c>
      <c r="K24" s="26"/>
      <c r="L24" s="26"/>
      <c r="M24" s="341"/>
      <c r="N24" s="341"/>
      <c r="O24" s="341"/>
      <c r="P24" s="342"/>
      <c r="Q24" s="342"/>
      <c r="R24" s="20"/>
      <c r="S24" s="20"/>
      <c r="U24" s="22"/>
      <c r="V24" s="23"/>
      <c r="W24" s="23"/>
      <c r="X24" s="24"/>
      <c r="Y24" s="24"/>
      <c r="Z24" s="24"/>
      <c r="AA24" s="24"/>
      <c r="AB24" s="24"/>
      <c r="AC24" s="24"/>
      <c r="AD24" s="24"/>
      <c r="BD24" s="25"/>
      <c r="BE24" s="25"/>
      <c r="BF24" s="25"/>
      <c r="BG24" s="25"/>
      <c r="BH24" s="25"/>
      <c r="BI24" s="25"/>
      <c r="BJ24" s="25"/>
      <c r="BL24" s="19"/>
      <c r="BM24" s="19"/>
      <c r="BN24" s="19"/>
      <c r="BO24" s="19"/>
      <c r="BP24" s="19"/>
      <c r="BQ24" s="19"/>
      <c r="BR24" s="19"/>
    </row>
    <row r="25" spans="2:75">
      <c r="B25" s="26"/>
      <c r="C25" s="26"/>
      <c r="D25" s="26"/>
      <c r="E25" s="26"/>
      <c r="F25" s="26"/>
      <c r="G25" s="26"/>
      <c r="H25" s="26"/>
      <c r="I25" s="26"/>
      <c r="J25" s="26"/>
      <c r="K25" s="26"/>
      <c r="L25" s="26"/>
      <c r="M25" s="26"/>
      <c r="N25" s="26"/>
      <c r="O25" s="26"/>
      <c r="P25" s="26"/>
      <c r="Q25" s="26"/>
      <c r="R25" s="26"/>
      <c r="S25" s="26"/>
      <c r="T25" s="19"/>
      <c r="U25" s="19"/>
      <c r="V25" s="19"/>
      <c r="W25" s="19"/>
      <c r="X25" s="19"/>
      <c r="Y25" s="19"/>
      <c r="Z25" s="19"/>
      <c r="AA25" s="19"/>
      <c r="AB25" s="19"/>
      <c r="AC25" s="19"/>
    </row>
    <row r="26" spans="2:75" ht="30.4">
      <c r="B26" s="629" t="s">
        <v>110</v>
      </c>
      <c r="C26" s="630"/>
      <c r="D26" s="630"/>
      <c r="E26" s="630"/>
      <c r="F26" s="630"/>
      <c r="G26" s="630"/>
      <c r="H26" s="630"/>
      <c r="I26" s="630"/>
      <c r="J26" s="630"/>
      <c r="K26" s="630"/>
      <c r="L26" s="630"/>
      <c r="M26" s="630"/>
      <c r="N26" s="630"/>
      <c r="O26" s="630"/>
      <c r="P26" s="630"/>
      <c r="Q26" s="631"/>
      <c r="R26" s="26"/>
      <c r="S26" s="26"/>
    </row>
    <row r="27" spans="2:75" ht="15.4">
      <c r="B27" s="632"/>
      <c r="C27" s="633"/>
      <c r="D27" s="633"/>
      <c r="E27" s="633"/>
      <c r="F27" s="633"/>
      <c r="G27" s="633"/>
      <c r="H27" s="633"/>
      <c r="I27" s="633"/>
      <c r="J27" s="633"/>
      <c r="K27" s="633"/>
      <c r="L27" s="633"/>
      <c r="M27" s="633"/>
      <c r="N27" s="633"/>
      <c r="O27" s="633"/>
      <c r="P27" s="633"/>
      <c r="Q27" s="634"/>
      <c r="R27" s="26"/>
      <c r="S27" s="26"/>
    </row>
    <row r="28" spans="2:75" ht="52.9">
      <c r="B28" s="655" t="s">
        <v>750</v>
      </c>
      <c r="C28" s="637"/>
      <c r="D28" s="338" t="s">
        <v>114</v>
      </c>
      <c r="E28" s="338" t="s">
        <v>117</v>
      </c>
      <c r="F28" s="637" t="s">
        <v>120</v>
      </c>
      <c r="G28" s="637"/>
      <c r="H28" s="338" t="s">
        <v>751</v>
      </c>
      <c r="I28" s="338" t="s">
        <v>752</v>
      </c>
      <c r="J28" s="637" t="s">
        <v>128</v>
      </c>
      <c r="K28" s="637"/>
      <c r="L28" s="637"/>
      <c r="M28" s="637"/>
      <c r="N28" s="338" t="s">
        <v>131</v>
      </c>
      <c r="O28" s="338" t="s">
        <v>134</v>
      </c>
      <c r="P28" s="338" t="s">
        <v>137</v>
      </c>
      <c r="Q28" s="344" t="s">
        <v>753</v>
      </c>
      <c r="R28" s="26"/>
      <c r="S28" s="26"/>
      <c r="T28" s="26"/>
      <c r="U28" s="26"/>
      <c r="V28" s="26"/>
      <c r="W28" s="26"/>
      <c r="X28" s="26"/>
      <c r="AB28" s="21"/>
      <c r="AC28" s="21"/>
      <c r="AD28" s="20"/>
      <c r="AE28" s="20"/>
      <c r="AF28" s="20"/>
      <c r="AG28" s="22"/>
      <c r="AH28" s="23"/>
      <c r="AI28" s="23"/>
      <c r="BK28" s="24"/>
      <c r="BL28" s="24"/>
      <c r="BM28" s="24"/>
      <c r="BN28" s="24"/>
      <c r="BO28" s="24"/>
      <c r="BS28" s="25"/>
      <c r="BT28" s="25"/>
      <c r="BU28" s="25"/>
      <c r="BV28" s="25"/>
      <c r="BW28" s="25"/>
    </row>
    <row r="29" spans="2:75" ht="58.5" customHeight="1">
      <c r="B29" s="672"/>
      <c r="C29" s="647"/>
      <c r="D29" s="405"/>
      <c r="E29" s="345"/>
      <c r="F29" s="647"/>
      <c r="G29" s="647"/>
      <c r="H29" s="406"/>
      <c r="I29" s="407"/>
      <c r="J29" s="647"/>
      <c r="K29" s="647"/>
      <c r="L29" s="647"/>
      <c r="M29" s="647"/>
      <c r="N29" s="239"/>
      <c r="O29" s="345"/>
      <c r="P29" s="345"/>
      <c r="Q29" s="346"/>
      <c r="R29" s="26"/>
      <c r="S29" s="26"/>
      <c r="T29" s="26"/>
      <c r="U29" s="26"/>
      <c r="V29" s="26"/>
      <c r="W29" s="26"/>
      <c r="X29" s="26"/>
      <c r="AB29" s="21"/>
      <c r="AC29" s="21"/>
      <c r="AD29" s="20"/>
      <c r="AE29" s="20"/>
      <c r="AF29" s="20"/>
      <c r="AG29" s="22"/>
      <c r="AH29" s="23"/>
      <c r="AI29" s="23"/>
      <c r="BK29" s="24"/>
      <c r="BL29" s="24"/>
      <c r="BM29" s="24"/>
      <c r="BN29" s="24"/>
      <c r="BO29" s="24"/>
      <c r="BS29" s="25"/>
      <c r="BT29" s="25"/>
      <c r="BU29" s="25"/>
      <c r="BV29" s="25"/>
      <c r="BW29" s="25"/>
    </row>
    <row r="30" spans="2:75" ht="58.5" customHeight="1">
      <c r="B30" s="672"/>
      <c r="C30" s="647"/>
      <c r="D30" s="405"/>
      <c r="E30" s="345"/>
      <c r="F30" s="647"/>
      <c r="G30" s="647"/>
      <c r="H30" s="406"/>
      <c r="I30" s="407"/>
      <c r="J30" s="647"/>
      <c r="K30" s="647"/>
      <c r="L30" s="647"/>
      <c r="M30" s="647"/>
      <c r="N30" s="239"/>
      <c r="O30" s="345"/>
      <c r="P30" s="345"/>
      <c r="Q30" s="346"/>
      <c r="R30" s="26"/>
      <c r="S30" s="26"/>
      <c r="T30" s="26"/>
      <c r="U30" s="26"/>
      <c r="V30" s="26"/>
      <c r="W30" s="26"/>
      <c r="X30" s="26"/>
      <c r="AB30" s="21"/>
      <c r="AC30" s="21"/>
      <c r="AD30" s="20"/>
      <c r="AE30" s="20"/>
      <c r="AF30" s="20"/>
      <c r="AG30" s="22"/>
      <c r="AH30" s="23"/>
      <c r="AI30" s="23"/>
      <c r="BK30" s="24"/>
      <c r="BL30" s="24"/>
      <c r="BM30" s="24"/>
      <c r="BN30" s="24"/>
      <c r="BO30" s="24"/>
      <c r="BS30" s="25"/>
      <c r="BT30" s="25"/>
      <c r="BU30" s="25"/>
      <c r="BV30" s="25"/>
      <c r="BW30" s="25"/>
    </row>
    <row r="31" spans="2:75" ht="58.5" customHeight="1">
      <c r="B31" s="672"/>
      <c r="C31" s="647"/>
      <c r="D31" s="405"/>
      <c r="E31" s="345"/>
      <c r="F31" s="647"/>
      <c r="G31" s="647"/>
      <c r="H31" s="406"/>
      <c r="I31" s="407"/>
      <c r="J31" s="647"/>
      <c r="K31" s="647"/>
      <c r="L31" s="647"/>
      <c r="M31" s="647"/>
      <c r="N31" s="239"/>
      <c r="O31" s="345"/>
      <c r="P31" s="345"/>
      <c r="Q31" s="346"/>
      <c r="R31" s="26"/>
      <c r="S31" s="26"/>
      <c r="T31" s="26"/>
      <c r="U31" s="26"/>
      <c r="V31" s="26"/>
      <c r="W31" s="26"/>
      <c r="X31" s="26"/>
      <c r="AB31" s="21"/>
      <c r="AC31" s="21"/>
      <c r="AD31" s="20"/>
      <c r="AE31" s="20"/>
      <c r="AF31" s="20"/>
      <c r="AG31" s="22"/>
      <c r="AH31" s="23"/>
      <c r="AI31" s="23"/>
      <c r="BK31" s="24"/>
      <c r="BL31" s="24"/>
      <c r="BM31" s="24"/>
      <c r="BN31" s="24"/>
      <c r="BO31" s="24"/>
      <c r="BS31" s="25"/>
      <c r="BT31" s="25"/>
      <c r="BU31" s="25"/>
      <c r="BV31" s="25"/>
      <c r="BW31" s="25"/>
    </row>
    <row r="32" spans="2:75" ht="58.5" customHeight="1">
      <c r="B32" s="672"/>
      <c r="C32" s="647"/>
      <c r="D32" s="405"/>
      <c r="E32" s="345"/>
      <c r="F32" s="647"/>
      <c r="G32" s="647"/>
      <c r="H32" s="406"/>
      <c r="I32" s="407"/>
      <c r="J32" s="647"/>
      <c r="K32" s="647"/>
      <c r="L32" s="647"/>
      <c r="M32" s="647"/>
      <c r="N32" s="239"/>
      <c r="O32" s="345"/>
      <c r="P32" s="345"/>
      <c r="Q32" s="346"/>
      <c r="R32" s="26"/>
      <c r="S32" s="26"/>
      <c r="T32" s="26"/>
      <c r="U32" s="26"/>
      <c r="V32" s="26"/>
      <c r="W32" s="26"/>
      <c r="X32" s="26"/>
      <c r="AB32" s="21"/>
      <c r="AC32" s="21"/>
      <c r="AD32" s="20"/>
      <c r="AE32" s="20"/>
      <c r="AF32" s="20"/>
      <c r="AG32" s="22"/>
      <c r="AH32" s="23"/>
      <c r="AI32" s="23"/>
      <c r="BK32" s="24"/>
      <c r="BL32" s="24"/>
      <c r="BM32" s="24"/>
      <c r="BN32" s="24"/>
      <c r="BO32" s="24"/>
      <c r="BS32" s="25"/>
      <c r="BT32" s="25"/>
      <c r="BU32" s="25"/>
      <c r="BV32" s="25"/>
      <c r="BW32" s="25"/>
    </row>
    <row r="33" spans="2:75" ht="30.4">
      <c r="B33" s="664" t="s">
        <v>754</v>
      </c>
      <c r="C33" s="665"/>
      <c r="D33" s="665"/>
      <c r="E33" s="665"/>
      <c r="F33" s="665"/>
      <c r="G33" s="665"/>
      <c r="H33" s="665"/>
      <c r="I33" s="665"/>
      <c r="J33" s="665"/>
      <c r="K33" s="665"/>
      <c r="L33" s="665"/>
      <c r="M33" s="665"/>
      <c r="N33" s="665"/>
      <c r="O33" s="665"/>
      <c r="P33" s="347">
        <f>SUM(P29:P32)</f>
        <v>0</v>
      </c>
      <c r="Q33" s="348"/>
      <c r="R33" s="26"/>
      <c r="S33" s="26"/>
      <c r="T33" s="26"/>
      <c r="U33" s="26"/>
      <c r="V33" s="26"/>
      <c r="W33" s="26"/>
      <c r="X33" s="26"/>
      <c r="AB33" s="21"/>
      <c r="AC33" s="21"/>
      <c r="AD33" s="20"/>
      <c r="AE33" s="20"/>
      <c r="AF33" s="20"/>
      <c r="AG33" s="22"/>
      <c r="AH33" s="23"/>
      <c r="AI33" s="23"/>
      <c r="BK33" s="24"/>
      <c r="BL33" s="24"/>
      <c r="BM33" s="24"/>
      <c r="BN33" s="24"/>
      <c r="BO33" s="24"/>
      <c r="BS33" s="25"/>
      <c r="BT33" s="25"/>
      <c r="BU33" s="25"/>
      <c r="BV33" s="25"/>
      <c r="BW33" s="25"/>
    </row>
    <row r="86" spans="4:4" hidden="1">
      <c r="D86" s="19" t="s">
        <v>755</v>
      </c>
    </row>
    <row r="87" spans="4:4" hidden="1">
      <c r="D87" s="19" t="s">
        <v>756</v>
      </c>
    </row>
    <row r="88" spans="4:4" hidden="1">
      <c r="D88" s="19" t="s">
        <v>757</v>
      </c>
    </row>
  </sheetData>
  <sheetProtection algorithmName="SHA-512" hashValue="wyAOltXW02qon+zGXs9YFB7f6Ksu2dUTyWdQeRWHudB/8gCPYmmXZMgksEyT/q4FJqJAtdLf7G434SpvAxM8Lw==" saltValue="7OjU/MpGGv6T1e+0obaboQ==" spinCount="100000" sheet="1" objects="1" scenarios="1" formatCells="0" formatColumns="0" formatRows="0" insertRows="0" deleteRows="0"/>
  <mergeCells count="65">
    <mergeCell ref="B33:O33"/>
    <mergeCell ref="B2:P3"/>
    <mergeCell ref="B31:C31"/>
    <mergeCell ref="F31:G31"/>
    <mergeCell ref="J31:M31"/>
    <mergeCell ref="B32:C32"/>
    <mergeCell ref="F32:G32"/>
    <mergeCell ref="J32:M32"/>
    <mergeCell ref="B29:C29"/>
    <mergeCell ref="F29:G29"/>
    <mergeCell ref="J29:M29"/>
    <mergeCell ref="B30:C30"/>
    <mergeCell ref="F30:G30"/>
    <mergeCell ref="J30:M30"/>
    <mergeCell ref="B26:Q26"/>
    <mergeCell ref="B27:Q27"/>
    <mergeCell ref="B28:C28"/>
    <mergeCell ref="F28:G28"/>
    <mergeCell ref="J28:M28"/>
    <mergeCell ref="B22:J22"/>
    <mergeCell ref="B23:D23"/>
    <mergeCell ref="E23:G23"/>
    <mergeCell ref="H23:J23"/>
    <mergeCell ref="B24:D24"/>
    <mergeCell ref="E24:G24"/>
    <mergeCell ref="H24:I24"/>
    <mergeCell ref="B19:C19"/>
    <mergeCell ref="E19:I19"/>
    <mergeCell ref="J19:M19"/>
    <mergeCell ref="N19:P19"/>
    <mergeCell ref="B21:J21"/>
    <mergeCell ref="B17:C17"/>
    <mergeCell ref="E17:I17"/>
    <mergeCell ref="J17:M17"/>
    <mergeCell ref="N17:P17"/>
    <mergeCell ref="B18:C18"/>
    <mergeCell ref="E18:I18"/>
    <mergeCell ref="J18:M18"/>
    <mergeCell ref="N18:P18"/>
    <mergeCell ref="B15:C15"/>
    <mergeCell ref="E15:I15"/>
    <mergeCell ref="J15:M15"/>
    <mergeCell ref="N15:P15"/>
    <mergeCell ref="B16:C16"/>
    <mergeCell ref="E16:I16"/>
    <mergeCell ref="J16:M16"/>
    <mergeCell ref="N16:P16"/>
    <mergeCell ref="C10:G10"/>
    <mergeCell ref="H10:I10"/>
    <mergeCell ref="J10:P10"/>
    <mergeCell ref="B13:P13"/>
    <mergeCell ref="B14:P14"/>
    <mergeCell ref="C8:G8"/>
    <mergeCell ref="H8:I8"/>
    <mergeCell ref="J8:P8"/>
    <mergeCell ref="C9:G9"/>
    <mergeCell ref="H9:I9"/>
    <mergeCell ref="J9:P9"/>
    <mergeCell ref="B5:P5"/>
    <mergeCell ref="C6:G6"/>
    <mergeCell ref="H6:I6"/>
    <mergeCell ref="J6:P6"/>
    <mergeCell ref="C7:G7"/>
    <mergeCell ref="H7:I7"/>
    <mergeCell ref="J7:P7"/>
  </mergeCells>
  <dataValidations count="1">
    <dataValidation type="list" allowBlank="1" showInputMessage="1" showErrorMessage="1" sqref="F29:G32" xr:uid="{8AF203E1-6AE7-4DB8-AB6F-DC99BA3B5AE4}">
      <formula1>$D$86:$D$88</formula1>
    </dataValidation>
  </dataValidation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2FB9CE"/>
  </sheetPr>
  <dimension ref="A1:R216"/>
  <sheetViews>
    <sheetView view="pageBreakPreview" zoomScale="70" zoomScaleNormal="80" zoomScaleSheetLayoutView="70" workbookViewId="0">
      <selection activeCell="CA39" sqref="CA39"/>
    </sheetView>
  </sheetViews>
  <sheetFormatPr defaultColWidth="11.375" defaultRowHeight="15.75"/>
  <cols>
    <col min="1" max="1" width="16.75" style="8" customWidth="1"/>
    <col min="2" max="2" width="30" style="8" customWidth="1"/>
    <col min="3" max="3" width="20.25" style="8" customWidth="1"/>
    <col min="4" max="4" width="20.25" style="9" customWidth="1"/>
    <col min="5" max="11" width="20.25" style="8" customWidth="1"/>
    <col min="12" max="13" width="11.375" style="8"/>
    <col min="14" max="16384" width="11.375" style="10"/>
  </cols>
  <sheetData>
    <row r="1" spans="1:18">
      <c r="A1" s="11"/>
      <c r="B1" s="11"/>
      <c r="C1" s="11"/>
      <c r="D1" s="12"/>
      <c r="E1" s="11"/>
      <c r="F1" s="11"/>
      <c r="G1" s="11"/>
      <c r="H1" s="11"/>
      <c r="I1" s="11"/>
      <c r="J1" s="11"/>
      <c r="K1" s="11"/>
    </row>
    <row r="2" spans="1:18">
      <c r="A2" s="11"/>
      <c r="B2" s="11"/>
      <c r="C2" s="11"/>
      <c r="D2" s="12"/>
      <c r="E2" s="11"/>
      <c r="F2" s="11"/>
      <c r="G2" s="11"/>
      <c r="H2" s="11"/>
      <c r="I2" s="11"/>
      <c r="J2" s="11"/>
      <c r="K2" s="11"/>
    </row>
    <row r="3" spans="1:18" ht="48.4">
      <c r="A3" s="349" t="s">
        <v>758</v>
      </c>
      <c r="B3" s="350" t="s">
        <v>759</v>
      </c>
      <c r="C3" s="351" t="s">
        <v>760</v>
      </c>
      <c r="D3" s="351" t="s">
        <v>761</v>
      </c>
      <c r="E3" s="351" t="s">
        <v>762</v>
      </c>
      <c r="F3" s="351" t="s">
        <v>763</v>
      </c>
      <c r="G3" s="351" t="s">
        <v>764</v>
      </c>
      <c r="H3" s="351" t="s">
        <v>765</v>
      </c>
      <c r="I3" s="351" t="s">
        <v>766</v>
      </c>
      <c r="J3" s="352" t="s">
        <v>767</v>
      </c>
      <c r="K3" s="353" t="s">
        <v>768</v>
      </c>
    </row>
    <row r="4" spans="1:18">
      <c r="A4" s="675">
        <v>1</v>
      </c>
      <c r="B4" s="492" t="s">
        <v>286</v>
      </c>
      <c r="C4" s="493">
        <f>EMISIONES!AE30</f>
        <v>0</v>
      </c>
      <c r="D4" s="493">
        <f>EMISIONES!AM30</f>
        <v>0</v>
      </c>
      <c r="E4" s="493">
        <f>EMISIONES!AU30</f>
        <v>0</v>
      </c>
      <c r="F4" s="493">
        <f>EMISIONES!BB30</f>
        <v>0</v>
      </c>
      <c r="G4" s="493">
        <f>EMISIONES!BI30</f>
        <v>0</v>
      </c>
      <c r="H4" s="493">
        <f>EMISIONES!BQ30</f>
        <v>0</v>
      </c>
      <c r="I4" s="493">
        <f>EMISIONES!CA30</f>
        <v>0</v>
      </c>
      <c r="J4" s="494" t="e">
        <f t="shared" ref="J4:J11" si="0">+I4/$I$11</f>
        <v>#DIV/0!</v>
      </c>
      <c r="K4" s="495">
        <f>EMISIONES!CB30</f>
        <v>0</v>
      </c>
      <c r="R4" s="15"/>
    </row>
    <row r="5" spans="1:18">
      <c r="A5" s="676"/>
      <c r="B5" s="496" t="s">
        <v>285</v>
      </c>
      <c r="C5" s="493">
        <f>EMISIONES!AE52</f>
        <v>0</v>
      </c>
      <c r="D5" s="497">
        <f>EMISIONES!AM52</f>
        <v>0</v>
      </c>
      <c r="E5" s="497">
        <f>EMISIONES!AU52</f>
        <v>0</v>
      </c>
      <c r="F5" s="497">
        <f>EMISIONES!BB52</f>
        <v>0</v>
      </c>
      <c r="G5" s="497">
        <f>EMISIONES!BI52</f>
        <v>0</v>
      </c>
      <c r="H5" s="497">
        <f>EMISIONES!BQ52</f>
        <v>0</v>
      </c>
      <c r="I5" s="497">
        <f>EMISIONES!CA52</f>
        <v>0</v>
      </c>
      <c r="J5" s="498" t="e">
        <f t="shared" si="0"/>
        <v>#DIV/0!</v>
      </c>
      <c r="K5" s="499">
        <f>EMISIONES!CB52</f>
        <v>0</v>
      </c>
      <c r="R5" s="15"/>
    </row>
    <row r="6" spans="1:18">
      <c r="A6" s="676"/>
      <c r="B6" s="496" t="s">
        <v>769</v>
      </c>
      <c r="C6" s="493">
        <f>EMISIONES!AE77</f>
        <v>0</v>
      </c>
      <c r="D6" s="497">
        <f>EMISIONES!AM77</f>
        <v>0</v>
      </c>
      <c r="E6" s="497">
        <f>EMISIONES!AU77</f>
        <v>0</v>
      </c>
      <c r="F6" s="497">
        <f>EMISIONES!BB77</f>
        <v>0</v>
      </c>
      <c r="G6" s="497">
        <f>EMISIONES!BI77</f>
        <v>0</v>
      </c>
      <c r="H6" s="497">
        <f>EMISIONES!BQ77</f>
        <v>0</v>
      </c>
      <c r="I6" s="497">
        <f>EMISIONES!CA77</f>
        <v>0</v>
      </c>
      <c r="J6" s="498" t="e">
        <f t="shared" ref="J6" si="1">+I6/$I$11</f>
        <v>#DIV/0!</v>
      </c>
      <c r="K6" s="499">
        <f>EMISIONES!CB77</f>
        <v>0</v>
      </c>
      <c r="R6" s="15"/>
    </row>
    <row r="7" spans="1:18">
      <c r="A7" s="676"/>
      <c r="B7" s="496" t="s">
        <v>770</v>
      </c>
      <c r="C7" s="493">
        <f>EMISIONES!AE113</f>
        <v>0</v>
      </c>
      <c r="D7" s="497">
        <f>EMISIONES!AM113</f>
        <v>0</v>
      </c>
      <c r="E7" s="497">
        <f>EMISIONES!AU113</f>
        <v>0</v>
      </c>
      <c r="F7" s="497">
        <f>EMISIONES!BB113</f>
        <v>0</v>
      </c>
      <c r="G7" s="497">
        <f>EMISIONES!BI113</f>
        <v>0</v>
      </c>
      <c r="H7" s="497">
        <f>EMISIONES!BQ113</f>
        <v>0</v>
      </c>
      <c r="I7" s="497">
        <f>EMISIONES!CA113</f>
        <v>0</v>
      </c>
      <c r="J7" s="498" t="e">
        <f t="shared" si="0"/>
        <v>#DIV/0!</v>
      </c>
      <c r="K7" s="499">
        <f>EMISIONES!CB113</f>
        <v>0</v>
      </c>
      <c r="R7" s="15"/>
    </row>
    <row r="8" spans="1:18" ht="21.95" customHeight="1">
      <c r="A8" s="677"/>
      <c r="B8" s="354" t="s">
        <v>771</v>
      </c>
      <c r="C8" s="318">
        <f>EMISIONES!AE114</f>
        <v>0</v>
      </c>
      <c r="D8" s="318">
        <f>EMISIONES!AM114</f>
        <v>0</v>
      </c>
      <c r="E8" s="318">
        <f>EMISIONES!AU114</f>
        <v>0</v>
      </c>
      <c r="F8" s="318">
        <f>EMISIONES!BB114</f>
        <v>0</v>
      </c>
      <c r="G8" s="318">
        <f>EMISIONES!BI114</f>
        <v>0</v>
      </c>
      <c r="H8" s="318">
        <f>EMISIONES!BQ114</f>
        <v>0</v>
      </c>
      <c r="I8" s="318">
        <f>EMISIONES!CA114</f>
        <v>0</v>
      </c>
      <c r="J8" s="355" t="e">
        <f t="shared" si="0"/>
        <v>#DIV/0!</v>
      </c>
      <c r="K8" s="356">
        <f>EMISIONES!CB114</f>
        <v>0</v>
      </c>
      <c r="R8" s="15"/>
    </row>
    <row r="9" spans="1:18">
      <c r="A9" s="678">
        <v>2</v>
      </c>
      <c r="B9" s="496" t="s">
        <v>772</v>
      </c>
      <c r="C9" s="497">
        <f>EMISIONES!AE120</f>
        <v>0</v>
      </c>
      <c r="D9" s="497">
        <f>EMISIONES!AM120</f>
        <v>0</v>
      </c>
      <c r="E9" s="497">
        <f>EMISIONES!AU120</f>
        <v>0</v>
      </c>
      <c r="F9" s="497">
        <f>EMISIONES!BB120</f>
        <v>0</v>
      </c>
      <c r="G9" s="497">
        <f>EMISIONES!BI120</f>
        <v>0</v>
      </c>
      <c r="H9" s="497">
        <f>EMISIONES!BQ120</f>
        <v>0</v>
      </c>
      <c r="I9" s="497">
        <f>EMISIONES!CA120</f>
        <v>0</v>
      </c>
      <c r="J9" s="498" t="e">
        <f t="shared" si="0"/>
        <v>#DIV/0!</v>
      </c>
      <c r="K9" s="499">
        <f>EMISIONES!CB120</f>
        <v>0</v>
      </c>
      <c r="R9" s="15"/>
    </row>
    <row r="10" spans="1:18" ht="21.95" customHeight="1">
      <c r="A10" s="678"/>
      <c r="B10" s="354" t="s">
        <v>771</v>
      </c>
      <c r="C10" s="318">
        <f>EMISIONES!AE120</f>
        <v>0</v>
      </c>
      <c r="D10" s="318">
        <f>EMISIONES!AM120</f>
        <v>0</v>
      </c>
      <c r="E10" s="318">
        <f>EMISIONES!AU120</f>
        <v>0</v>
      </c>
      <c r="F10" s="318">
        <f>EMISIONES!BB120</f>
        <v>0</v>
      </c>
      <c r="G10" s="318">
        <f>EMISIONES!BI120</f>
        <v>0</v>
      </c>
      <c r="H10" s="318">
        <f>EMISIONES!BQ120</f>
        <v>0</v>
      </c>
      <c r="I10" s="318">
        <f>EMISIONES!CA120</f>
        <v>0</v>
      </c>
      <c r="J10" s="355" t="e">
        <f t="shared" si="0"/>
        <v>#DIV/0!</v>
      </c>
      <c r="K10" s="356">
        <f>EMISIONES!CB120</f>
        <v>0</v>
      </c>
      <c r="R10" s="15"/>
    </row>
    <row r="11" spans="1:18" ht="30" customHeight="1">
      <c r="A11" s="681" t="s">
        <v>773</v>
      </c>
      <c r="B11" s="682"/>
      <c r="C11" s="357">
        <f>EMISIONES!AE123</f>
        <v>0</v>
      </c>
      <c r="D11" s="357">
        <f>EMISIONES!AM123</f>
        <v>0</v>
      </c>
      <c r="E11" s="357">
        <f>EMISIONES!AU123</f>
        <v>0</v>
      </c>
      <c r="F11" s="357">
        <f>EMISIONES!BB123</f>
        <v>0</v>
      </c>
      <c r="G11" s="357">
        <f>EMISIONES!BI123</f>
        <v>0</v>
      </c>
      <c r="H11" s="357">
        <f>EMISIONES!BQ123</f>
        <v>0</v>
      </c>
      <c r="I11" s="357">
        <f>EMISIONES!CA123</f>
        <v>0</v>
      </c>
      <c r="J11" s="358" t="e">
        <f t="shared" si="0"/>
        <v>#DIV/0!</v>
      </c>
      <c r="K11" s="359">
        <f>EMISIONES!CB123</f>
        <v>0</v>
      </c>
      <c r="R11" s="15"/>
    </row>
    <row r="12" spans="1:18">
      <c r="A12" s="11"/>
      <c r="B12" s="11"/>
      <c r="C12" s="11"/>
      <c r="D12" s="12"/>
      <c r="E12" s="11"/>
      <c r="F12" s="11"/>
      <c r="G12" s="11"/>
      <c r="H12" s="11"/>
      <c r="I12" s="13" t="e">
        <f>IF((#REF!+#REF!+#REF!)=#REF!,"Correcto","Error")</f>
        <v>#REF!</v>
      </c>
      <c r="J12" s="11"/>
      <c r="K12" s="11"/>
      <c r="R12" s="15"/>
    </row>
    <row r="13" spans="1:18" ht="48.4">
      <c r="A13" s="683" t="s">
        <v>774</v>
      </c>
      <c r="B13" s="684"/>
      <c r="C13" s="360" t="s">
        <v>775</v>
      </c>
      <c r="D13" s="361" t="s">
        <v>776</v>
      </c>
      <c r="E13" s="362"/>
      <c r="F13" s="363"/>
      <c r="G13" s="362"/>
      <c r="H13" s="364"/>
      <c r="I13" s="11"/>
      <c r="J13" s="11"/>
      <c r="K13" s="11"/>
    </row>
    <row r="14" spans="1:18" ht="30.75" customHeight="1">
      <c r="A14" s="681" t="s">
        <v>777</v>
      </c>
      <c r="B14" s="685"/>
      <c r="C14" s="365">
        <f>REDUCCIONES!H24</f>
        <v>0</v>
      </c>
      <c r="D14" s="366" t="e">
        <f>+C14/$I$11</f>
        <v>#DIV/0!</v>
      </c>
      <c r="E14" s="367"/>
      <c r="F14" s="368"/>
      <c r="G14" s="369"/>
      <c r="H14" s="370"/>
      <c r="I14" s="11"/>
      <c r="J14" s="11"/>
      <c r="K14" s="11"/>
    </row>
    <row r="15" spans="1:18" ht="30.75" customHeight="1">
      <c r="A15" s="681" t="s">
        <v>778</v>
      </c>
      <c r="B15" s="685"/>
      <c r="C15" s="365">
        <f>REDUCCIONES!P33</f>
        <v>0</v>
      </c>
      <c r="D15" s="366" t="e">
        <f>+C15/$I$11</f>
        <v>#DIV/0!</v>
      </c>
      <c r="E15" s="367"/>
      <c r="F15" s="367"/>
      <c r="G15" s="369"/>
      <c r="H15" s="370"/>
      <c r="I15" s="11"/>
      <c r="J15" s="11"/>
      <c r="K15" s="11"/>
    </row>
    <row r="16" spans="1:18">
      <c r="A16" s="11"/>
      <c r="B16" s="11"/>
      <c r="C16" s="11"/>
      <c r="D16" s="12"/>
      <c r="E16" s="11"/>
      <c r="F16" s="11"/>
      <c r="G16" s="11"/>
      <c r="H16" s="11"/>
      <c r="I16" s="11"/>
      <c r="J16" s="11"/>
      <c r="K16" s="11"/>
    </row>
    <row r="17" spans="1:11" ht="15.75" customHeight="1">
      <c r="A17" s="11"/>
      <c r="B17" s="11"/>
      <c r="C17" s="11"/>
      <c r="D17" s="12"/>
      <c r="E17" s="11"/>
      <c r="F17" s="11"/>
      <c r="G17" s="11"/>
      <c r="H17" s="11"/>
      <c r="I17" s="11"/>
      <c r="J17" s="11"/>
      <c r="K17" s="11"/>
    </row>
    <row r="18" spans="1:11">
      <c r="A18" s="11"/>
      <c r="B18" s="11"/>
      <c r="C18" s="11"/>
      <c r="D18" s="12"/>
      <c r="E18" s="11"/>
      <c r="F18" s="11"/>
      <c r="G18" s="11"/>
      <c r="H18" s="11"/>
      <c r="I18" s="11"/>
      <c r="J18" s="11"/>
      <c r="K18" s="11"/>
    </row>
    <row r="19" spans="1:11" ht="17.649999999999999">
      <c r="A19" s="371" t="s">
        <v>779</v>
      </c>
      <c r="B19" s="11"/>
      <c r="C19" s="11"/>
      <c r="D19" s="12"/>
      <c r="E19" s="11"/>
      <c r="F19" s="11"/>
      <c r="G19" s="11"/>
      <c r="H19" s="11"/>
      <c r="I19" s="11"/>
      <c r="J19" s="11"/>
      <c r="K19" s="11"/>
    </row>
    <row r="20" spans="1:11">
      <c r="A20" s="11"/>
      <c r="B20" s="11"/>
      <c r="C20" s="11"/>
      <c r="D20" s="12"/>
      <c r="E20" s="11"/>
      <c r="F20" s="11"/>
      <c r="G20" s="11"/>
      <c r="H20" s="11"/>
      <c r="I20" s="11"/>
      <c r="J20" s="11"/>
      <c r="K20" s="11"/>
    </row>
    <row r="21" spans="1:11" s="8" customFormat="1" ht="33">
      <c r="A21" s="11"/>
      <c r="B21" s="372" t="s">
        <v>780</v>
      </c>
      <c r="C21" s="353" t="s">
        <v>781</v>
      </c>
      <c r="D21" s="12"/>
      <c r="E21" s="11"/>
      <c r="F21" s="11"/>
      <c r="G21" s="11"/>
      <c r="H21" s="11"/>
      <c r="I21" s="11"/>
      <c r="J21" s="11"/>
      <c r="K21" s="11"/>
    </row>
    <row r="22" spans="1:11" s="8" customFormat="1">
      <c r="A22" s="11"/>
      <c r="B22" s="500" t="s">
        <v>782</v>
      </c>
      <c r="C22" s="501">
        <f>EMISIONES!BX30</f>
        <v>0</v>
      </c>
      <c r="D22" s="12"/>
      <c r="E22" s="11"/>
      <c r="F22" s="11"/>
      <c r="G22" s="11"/>
      <c r="H22" s="11"/>
      <c r="I22" s="11"/>
      <c r="J22" s="11"/>
      <c r="K22" s="11"/>
    </row>
    <row r="23" spans="1:11" s="8" customFormat="1">
      <c r="A23" s="11"/>
      <c r="B23" s="500" t="s">
        <v>285</v>
      </c>
      <c r="C23" s="501">
        <f>EMISIONES!BX52</f>
        <v>0</v>
      </c>
      <c r="D23" s="12"/>
      <c r="E23" s="11"/>
      <c r="F23" s="11"/>
      <c r="G23" s="11"/>
      <c r="H23" s="11"/>
      <c r="I23" s="11"/>
      <c r="J23" s="11"/>
      <c r="K23" s="11"/>
    </row>
    <row r="24" spans="1:11" s="8" customFormat="1">
      <c r="A24" s="11"/>
      <c r="B24" s="502" t="s">
        <v>783</v>
      </c>
      <c r="C24" s="501">
        <f>EMISIONES!BX113</f>
        <v>0</v>
      </c>
      <c r="D24" s="12"/>
      <c r="E24" s="11"/>
      <c r="F24" s="11"/>
      <c r="G24" s="11"/>
      <c r="H24" s="11"/>
      <c r="I24" s="11"/>
      <c r="J24" s="11"/>
      <c r="K24" s="11"/>
    </row>
    <row r="25" spans="1:11" s="8" customFormat="1">
      <c r="A25" s="11"/>
      <c r="B25" s="373" t="s">
        <v>784</v>
      </c>
      <c r="C25" s="374">
        <f>SUM(C22:C24)</f>
        <v>0</v>
      </c>
      <c r="D25" s="12"/>
      <c r="E25" s="11"/>
      <c r="F25" s="11"/>
      <c r="G25" s="11"/>
      <c r="H25" s="11"/>
      <c r="I25" s="11"/>
      <c r="J25" s="11"/>
      <c r="K25" s="11"/>
    </row>
    <row r="26" spans="1:11" s="8" customFormat="1">
      <c r="A26" s="11"/>
      <c r="B26" s="11"/>
      <c r="C26" s="11"/>
      <c r="D26" s="12"/>
      <c r="E26" s="11"/>
      <c r="F26" s="11"/>
      <c r="G26" s="11"/>
      <c r="H26" s="11"/>
      <c r="I26" s="11"/>
      <c r="J26" s="11"/>
      <c r="K26" s="11"/>
    </row>
    <row r="27" spans="1:11" s="8" customFormat="1">
      <c r="A27" s="11"/>
      <c r="B27" s="11"/>
      <c r="C27" s="11"/>
      <c r="D27" s="12"/>
      <c r="E27" s="11"/>
      <c r="F27" s="11"/>
      <c r="G27" s="11"/>
      <c r="H27" s="11"/>
      <c r="I27" s="11"/>
      <c r="J27" s="11"/>
      <c r="K27" s="11"/>
    </row>
    <row r="28" spans="1:11">
      <c r="A28" s="371" t="s">
        <v>785</v>
      </c>
      <c r="B28" s="11"/>
      <c r="C28" s="11"/>
      <c r="D28" s="12"/>
      <c r="E28" s="11"/>
      <c r="F28" s="11"/>
      <c r="G28" s="11"/>
      <c r="H28" s="11"/>
      <c r="I28" s="11"/>
      <c r="J28" s="11"/>
      <c r="K28" s="11"/>
    </row>
    <row r="29" spans="1:11">
      <c r="A29" s="11"/>
      <c r="B29" s="11"/>
      <c r="C29" s="11"/>
      <c r="D29" s="12"/>
      <c r="E29" s="11"/>
      <c r="F29" s="11"/>
      <c r="G29" s="11"/>
      <c r="H29" s="11"/>
      <c r="I29" s="11"/>
      <c r="J29" s="11"/>
      <c r="K29" s="11"/>
    </row>
    <row r="30" spans="1:11" s="8" customFormat="1" ht="33">
      <c r="A30" s="11"/>
      <c r="B30" s="372" t="s">
        <v>780</v>
      </c>
      <c r="C30" s="353" t="s">
        <v>786</v>
      </c>
      <c r="D30" s="12"/>
      <c r="E30" s="11"/>
      <c r="F30" s="11"/>
      <c r="G30" s="11"/>
      <c r="H30" s="11"/>
      <c r="I30" s="11"/>
      <c r="J30" s="11"/>
      <c r="K30" s="11"/>
    </row>
    <row r="31" spans="1:11" s="8" customFormat="1">
      <c r="A31" s="11"/>
      <c r="B31" s="500" t="s">
        <v>787</v>
      </c>
      <c r="C31" s="501">
        <f>+I8</f>
        <v>0</v>
      </c>
      <c r="D31" s="12"/>
      <c r="E31" s="11"/>
      <c r="F31" s="11"/>
      <c r="G31" s="11"/>
      <c r="H31" s="11"/>
      <c r="I31" s="11"/>
      <c r="J31" s="11"/>
      <c r="K31" s="11"/>
    </row>
    <row r="32" spans="1:11" s="8" customFormat="1">
      <c r="A32" s="11"/>
      <c r="B32" s="502" t="s">
        <v>788</v>
      </c>
      <c r="C32" s="503">
        <f>+I10</f>
        <v>0</v>
      </c>
      <c r="D32" s="12"/>
      <c r="E32" s="11"/>
      <c r="F32" s="11"/>
      <c r="G32" s="11"/>
      <c r="H32" s="11"/>
      <c r="I32" s="11"/>
      <c r="J32" s="11"/>
      <c r="K32" s="11"/>
    </row>
    <row r="33" spans="1:11" s="8" customFormat="1">
      <c r="A33" s="11"/>
      <c r="B33" s="373" t="s">
        <v>789</v>
      </c>
      <c r="C33" s="374">
        <f>SUM(C31:C32)</f>
        <v>0</v>
      </c>
      <c r="D33" s="12"/>
      <c r="E33" s="11"/>
      <c r="F33" s="11"/>
      <c r="G33" s="11"/>
      <c r="H33" s="11"/>
      <c r="I33" s="11"/>
      <c r="J33" s="11"/>
      <c r="K33" s="11"/>
    </row>
    <row r="34" spans="1:11" s="8" customFormat="1">
      <c r="A34" s="11"/>
      <c r="B34" s="11"/>
      <c r="C34" s="11"/>
      <c r="D34" s="12"/>
      <c r="E34" s="11"/>
      <c r="F34" s="11"/>
      <c r="G34" s="11"/>
      <c r="H34" s="11"/>
      <c r="I34" s="11"/>
      <c r="J34" s="11"/>
      <c r="K34" s="11"/>
    </row>
    <row r="35" spans="1:11" s="8" customFormat="1">
      <c r="A35" s="11"/>
      <c r="B35" s="11"/>
      <c r="C35" s="11"/>
      <c r="D35" s="12"/>
      <c r="E35" s="11"/>
      <c r="F35" s="11"/>
      <c r="G35" s="11"/>
      <c r="H35" s="11"/>
      <c r="I35" s="11"/>
      <c r="J35" s="11"/>
      <c r="K35" s="11"/>
    </row>
    <row r="36" spans="1:11" s="8" customFormat="1">
      <c r="A36" s="371" t="s">
        <v>790</v>
      </c>
      <c r="B36" s="11"/>
      <c r="C36" s="11"/>
      <c r="D36" s="12"/>
      <c r="E36" s="11"/>
      <c r="F36" s="11"/>
      <c r="G36" s="11"/>
      <c r="H36" s="11"/>
      <c r="I36" s="11"/>
      <c r="J36" s="11"/>
      <c r="K36" s="11"/>
    </row>
    <row r="37" spans="1:11" s="8" customFormat="1">
      <c r="A37" s="11"/>
      <c r="B37" s="11"/>
      <c r="C37" s="11"/>
      <c r="D37" s="12"/>
      <c r="E37" s="11"/>
      <c r="F37" s="11"/>
      <c r="G37" s="11"/>
      <c r="H37" s="11"/>
      <c r="I37" s="11"/>
      <c r="J37" s="11"/>
      <c r="K37" s="11"/>
    </row>
    <row r="38" spans="1:11" ht="48.4">
      <c r="A38" s="11"/>
      <c r="B38" s="372" t="s">
        <v>791</v>
      </c>
      <c r="C38" s="372" t="s">
        <v>792</v>
      </c>
      <c r="D38" s="372" t="s">
        <v>793</v>
      </c>
      <c r="E38" s="372" t="s">
        <v>794</v>
      </c>
      <c r="F38" s="11"/>
      <c r="G38" s="11"/>
      <c r="H38" s="11"/>
      <c r="I38" s="11"/>
      <c r="J38" s="11"/>
      <c r="K38" s="11"/>
    </row>
    <row r="39" spans="1:11" ht="17.649999999999999">
      <c r="A39" s="11"/>
      <c r="B39" s="375" t="s">
        <v>795</v>
      </c>
      <c r="C39" s="504">
        <f>D39/EMISIONES!$CE$432</f>
        <v>0</v>
      </c>
      <c r="D39" s="504">
        <f>EMISIONES!AE114</f>
        <v>0</v>
      </c>
      <c r="E39" s="505" t="e">
        <f>D39/D45</f>
        <v>#DIV/0!</v>
      </c>
      <c r="F39" s="11"/>
      <c r="G39" s="11"/>
      <c r="H39" s="11"/>
      <c r="I39" s="11"/>
      <c r="J39" s="11"/>
      <c r="K39" s="11"/>
    </row>
    <row r="40" spans="1:11" ht="17.649999999999999">
      <c r="A40" s="11"/>
      <c r="B40" s="375" t="s">
        <v>796</v>
      </c>
      <c r="C40" s="504">
        <f>D40/EMISIONES!$CE$433</f>
        <v>0</v>
      </c>
      <c r="D40" s="504">
        <f>EMISIONES!AM114</f>
        <v>0</v>
      </c>
      <c r="E40" s="505" t="e">
        <f>D40/D45</f>
        <v>#DIV/0!</v>
      </c>
      <c r="F40" s="11"/>
      <c r="G40" s="11"/>
      <c r="H40" s="11"/>
      <c r="I40" s="11"/>
      <c r="J40" s="11"/>
      <c r="K40" s="11"/>
    </row>
    <row r="41" spans="1:11" ht="17.649999999999999">
      <c r="A41" s="11"/>
      <c r="B41" s="375" t="s">
        <v>797</v>
      </c>
      <c r="C41" s="504">
        <f>D41/EMISIONES!$CE$434</f>
        <v>0</v>
      </c>
      <c r="D41" s="504">
        <f>EMISIONES!AU114</f>
        <v>0</v>
      </c>
      <c r="E41" s="505" t="e">
        <f>D41/D45</f>
        <v>#DIV/0!</v>
      </c>
      <c r="F41" s="11"/>
      <c r="G41" s="11"/>
      <c r="H41" s="11"/>
      <c r="I41" s="11"/>
      <c r="J41" s="11"/>
      <c r="K41" s="11"/>
    </row>
    <row r="42" spans="1:11">
      <c r="A42" s="11"/>
      <c r="B42" s="375" t="s">
        <v>61</v>
      </c>
      <c r="C42" s="504" t="s">
        <v>798</v>
      </c>
      <c r="D42" s="504">
        <f>EMISIONES!BB114</f>
        <v>0</v>
      </c>
      <c r="E42" s="505" t="e">
        <f>D42/D45</f>
        <v>#DIV/0!</v>
      </c>
      <c r="F42" s="11"/>
      <c r="G42" s="11"/>
      <c r="H42" s="11"/>
      <c r="I42" s="11"/>
      <c r="J42" s="11"/>
      <c r="K42" s="11"/>
    </row>
    <row r="43" spans="1:11">
      <c r="A43" s="11"/>
      <c r="B43" s="375" t="s">
        <v>799</v>
      </c>
      <c r="C43" s="504" t="s">
        <v>798</v>
      </c>
      <c r="D43" s="504">
        <f>EMISIONES!BI114</f>
        <v>0</v>
      </c>
      <c r="E43" s="505" t="e">
        <f>D43/D45</f>
        <v>#DIV/0!</v>
      </c>
      <c r="F43" s="11"/>
      <c r="G43" s="11"/>
      <c r="H43" s="11"/>
      <c r="I43" s="11"/>
      <c r="J43" s="11"/>
      <c r="K43" s="11"/>
    </row>
    <row r="44" spans="1:11" ht="17.649999999999999">
      <c r="A44" s="11"/>
      <c r="B44" s="375" t="s">
        <v>800</v>
      </c>
      <c r="C44" s="504">
        <f>D44/EMISIONES!$CE$435</f>
        <v>0</v>
      </c>
      <c r="D44" s="504">
        <f>EMISIONES!BQ114</f>
        <v>0</v>
      </c>
      <c r="E44" s="505" t="e">
        <f>D44/D45</f>
        <v>#DIV/0!</v>
      </c>
      <c r="F44" s="11"/>
      <c r="G44" s="11"/>
      <c r="H44" s="11"/>
      <c r="I44" s="11"/>
      <c r="J44" s="11"/>
      <c r="K44" s="11"/>
    </row>
    <row r="45" spans="1:11">
      <c r="A45" s="11"/>
      <c r="B45" s="372" t="s">
        <v>274</v>
      </c>
      <c r="C45" s="376" t="s">
        <v>798</v>
      </c>
      <c r="D45" s="377">
        <f>SUM(D39:D44)</f>
        <v>0</v>
      </c>
      <c r="E45" s="378" t="e">
        <f>SUM(E39:E44)</f>
        <v>#DIV/0!</v>
      </c>
      <c r="F45" s="11"/>
      <c r="G45" s="11"/>
      <c r="H45" s="11"/>
      <c r="I45" s="11"/>
      <c r="J45" s="11"/>
      <c r="K45" s="11"/>
    </row>
    <row r="46" spans="1:11">
      <c r="A46" s="11"/>
      <c r="B46" s="11"/>
      <c r="C46" s="11"/>
      <c r="D46" s="12"/>
      <c r="E46" s="11"/>
      <c r="F46" s="11"/>
      <c r="G46" s="11"/>
      <c r="H46" s="11"/>
      <c r="I46" s="11"/>
      <c r="J46" s="11"/>
      <c r="K46" s="11"/>
    </row>
    <row r="47" spans="1:11">
      <c r="A47" s="11"/>
      <c r="B47" s="11"/>
      <c r="C47" s="11"/>
      <c r="D47" s="12"/>
      <c r="E47" s="11"/>
      <c r="F47" s="11"/>
      <c r="G47" s="11"/>
      <c r="H47" s="11"/>
      <c r="I47" s="11"/>
      <c r="J47" s="11"/>
      <c r="K47" s="11"/>
    </row>
    <row r="48" spans="1:11">
      <c r="A48" s="11"/>
      <c r="B48" s="11"/>
      <c r="C48" s="11"/>
      <c r="D48" s="12"/>
      <c r="E48" s="11"/>
      <c r="F48" s="11"/>
      <c r="G48" s="11"/>
      <c r="H48" s="11"/>
      <c r="I48" s="11"/>
      <c r="J48" s="11"/>
      <c r="K48" s="11"/>
    </row>
    <row r="49" spans="1:13">
      <c r="A49" s="371" t="s">
        <v>801</v>
      </c>
      <c r="B49" s="11"/>
      <c r="C49" s="11"/>
      <c r="D49" s="12"/>
      <c r="E49" s="11"/>
      <c r="F49" s="11"/>
      <c r="G49" s="11"/>
      <c r="H49" s="11"/>
      <c r="I49" s="11"/>
      <c r="J49" s="11"/>
      <c r="K49" s="11"/>
    </row>
    <row r="50" spans="1:13">
      <c r="A50" s="11"/>
      <c r="B50" s="11"/>
      <c r="C50" s="11"/>
      <c r="D50" s="12"/>
      <c r="E50" s="11"/>
      <c r="F50" s="11"/>
      <c r="G50" s="11"/>
      <c r="H50" s="11"/>
      <c r="I50" s="11"/>
      <c r="J50" s="11"/>
      <c r="K50" s="11"/>
    </row>
    <row r="51" spans="1:13" ht="48.4">
      <c r="A51" s="11"/>
      <c r="B51" s="372" t="s">
        <v>791</v>
      </c>
      <c r="C51" s="372" t="s">
        <v>792</v>
      </c>
      <c r="D51" s="372" t="s">
        <v>802</v>
      </c>
      <c r="E51" s="372" t="s">
        <v>767</v>
      </c>
      <c r="F51" s="11"/>
      <c r="G51" s="11"/>
      <c r="H51" s="11"/>
      <c r="I51" s="11"/>
      <c r="J51" s="11"/>
      <c r="K51" s="11"/>
    </row>
    <row r="52" spans="1:13" ht="17.649999999999999">
      <c r="A52" s="11"/>
      <c r="B52" s="375" t="s">
        <v>795</v>
      </c>
      <c r="C52" s="504">
        <f>D52/EMISIONES!$CE$432</f>
        <v>0</v>
      </c>
      <c r="D52" s="504">
        <f>EMISIONES!AE123</f>
        <v>0</v>
      </c>
      <c r="E52" s="505" t="e">
        <f>D52/D58</f>
        <v>#DIV/0!</v>
      </c>
      <c r="F52" s="11"/>
      <c r="G52" s="11"/>
      <c r="H52" s="11"/>
      <c r="I52" s="11"/>
      <c r="J52" s="11"/>
      <c r="K52" s="11"/>
    </row>
    <row r="53" spans="1:13" ht="17.649999999999999">
      <c r="A53" s="11"/>
      <c r="B53" s="375" t="s">
        <v>796</v>
      </c>
      <c r="C53" s="504">
        <f>D53/EMISIONES!$CE$433</f>
        <v>0</v>
      </c>
      <c r="D53" s="504">
        <f>EMISIONES!AM123</f>
        <v>0</v>
      </c>
      <c r="E53" s="505" t="e">
        <f>D53/D58</f>
        <v>#DIV/0!</v>
      </c>
      <c r="F53" s="11"/>
      <c r="G53" s="11"/>
      <c r="H53" s="11"/>
      <c r="I53" s="11"/>
      <c r="J53" s="11"/>
      <c r="K53" s="11"/>
    </row>
    <row r="54" spans="1:13" ht="17.649999999999999">
      <c r="A54" s="11"/>
      <c r="B54" s="375" t="s">
        <v>797</v>
      </c>
      <c r="C54" s="504">
        <f>D54/EMISIONES!$CE$434</f>
        <v>0</v>
      </c>
      <c r="D54" s="504">
        <f>EMISIONES!AU123</f>
        <v>0</v>
      </c>
      <c r="E54" s="505" t="e">
        <f>D54/D58</f>
        <v>#DIV/0!</v>
      </c>
      <c r="F54" s="11"/>
      <c r="G54" s="11"/>
      <c r="H54" s="11"/>
      <c r="I54" s="11"/>
      <c r="J54" s="11"/>
      <c r="K54" s="11"/>
    </row>
    <row r="55" spans="1:13">
      <c r="A55" s="11"/>
      <c r="B55" s="375" t="s">
        <v>61</v>
      </c>
      <c r="C55" s="504" t="s">
        <v>798</v>
      </c>
      <c r="D55" s="504">
        <f>EMISIONES!BB123</f>
        <v>0</v>
      </c>
      <c r="E55" s="505" t="e">
        <f>D55/D58</f>
        <v>#DIV/0!</v>
      </c>
      <c r="F55" s="11"/>
      <c r="G55" s="11"/>
      <c r="H55" s="11"/>
      <c r="I55" s="11"/>
      <c r="J55" s="11"/>
      <c r="K55" s="11"/>
    </row>
    <row r="56" spans="1:13">
      <c r="A56" s="11"/>
      <c r="B56" s="375" t="s">
        <v>799</v>
      </c>
      <c r="C56" s="504" t="s">
        <v>798</v>
      </c>
      <c r="D56" s="504">
        <f>EMISIONES!BI123</f>
        <v>0</v>
      </c>
      <c r="E56" s="505" t="e">
        <f>D56/D58</f>
        <v>#DIV/0!</v>
      </c>
      <c r="F56" s="11"/>
      <c r="G56" s="11"/>
      <c r="H56" s="11"/>
      <c r="I56" s="11"/>
      <c r="J56" s="11"/>
      <c r="K56" s="11"/>
    </row>
    <row r="57" spans="1:13" ht="17.649999999999999">
      <c r="A57" s="11"/>
      <c r="B57" s="375" t="s">
        <v>800</v>
      </c>
      <c r="C57" s="504">
        <f>D57/EMISIONES!$CE$435</f>
        <v>0</v>
      </c>
      <c r="D57" s="504">
        <f>EMISIONES!BQ123</f>
        <v>0</v>
      </c>
      <c r="E57" s="505" t="e">
        <f>D57/D58</f>
        <v>#DIV/0!</v>
      </c>
      <c r="F57" s="11"/>
      <c r="G57" s="11"/>
      <c r="H57" s="11"/>
      <c r="I57" s="11"/>
      <c r="J57" s="11"/>
      <c r="K57" s="11"/>
    </row>
    <row r="58" spans="1:13">
      <c r="A58" s="11"/>
      <c r="B58" s="372" t="s">
        <v>803</v>
      </c>
      <c r="C58" s="376" t="s">
        <v>798</v>
      </c>
      <c r="D58" s="377">
        <f>SUM(D52:D57)</f>
        <v>0</v>
      </c>
      <c r="E58" s="378" t="e">
        <f>SUM(E52:E57)</f>
        <v>#DIV/0!</v>
      </c>
      <c r="F58" s="11"/>
      <c r="G58" s="11"/>
      <c r="H58" s="11"/>
      <c r="I58" s="11"/>
      <c r="J58" s="11"/>
      <c r="K58" s="11"/>
    </row>
    <row r="59" spans="1:13">
      <c r="A59" s="11"/>
      <c r="B59" s="11"/>
      <c r="C59" s="11"/>
      <c r="D59" s="12"/>
      <c r="E59" s="11"/>
      <c r="F59" s="11"/>
      <c r="G59" s="11"/>
      <c r="H59" s="11"/>
      <c r="I59" s="11"/>
      <c r="J59" s="11"/>
      <c r="K59" s="11"/>
    </row>
    <row r="60" spans="1:13">
      <c r="A60" s="11"/>
      <c r="B60" s="11"/>
      <c r="C60" s="11"/>
      <c r="D60" s="12"/>
      <c r="E60" s="11"/>
      <c r="F60" s="11"/>
      <c r="G60" s="11"/>
      <c r="H60" s="11"/>
      <c r="I60" s="11"/>
      <c r="J60" s="11"/>
      <c r="K60" s="11"/>
    </row>
    <row r="61" spans="1:13">
      <c r="A61" s="11"/>
      <c r="B61" s="11"/>
      <c r="C61" s="11"/>
      <c r="D61" s="12"/>
      <c r="E61" s="11"/>
      <c r="F61" s="11"/>
      <c r="G61" s="11"/>
      <c r="H61" s="11"/>
      <c r="I61" s="11"/>
      <c r="J61" s="11"/>
      <c r="K61" s="11"/>
    </row>
    <row r="62" spans="1:13">
      <c r="A62" s="11"/>
      <c r="B62" s="11"/>
      <c r="C62" s="11"/>
      <c r="D62" s="12"/>
      <c r="E62" s="11"/>
      <c r="F62" s="11"/>
      <c r="G62" s="11"/>
      <c r="H62" s="11"/>
      <c r="I62" s="11"/>
      <c r="J62" s="11"/>
      <c r="K62" s="11"/>
    </row>
    <row r="63" spans="1:13">
      <c r="A63" s="11"/>
      <c r="B63" s="11"/>
      <c r="C63" s="11"/>
      <c r="D63" s="12"/>
      <c r="E63" s="11"/>
      <c r="F63" s="11"/>
      <c r="G63" s="11"/>
      <c r="H63" s="11"/>
      <c r="I63" s="11"/>
      <c r="J63" s="11"/>
      <c r="K63" s="11"/>
    </row>
    <row r="64" spans="1:13" ht="20.65">
      <c r="A64" s="371"/>
      <c r="B64" s="379" t="s">
        <v>804</v>
      </c>
      <c r="C64" s="380"/>
      <c r="D64" s="380"/>
      <c r="E64" s="381"/>
      <c r="F64" s="380"/>
      <c r="G64" s="380"/>
      <c r="H64" s="382"/>
      <c r="I64" s="383"/>
      <c r="J64" s="383"/>
      <c r="K64" s="383"/>
      <c r="L64" s="14"/>
      <c r="M64" s="14"/>
    </row>
    <row r="65" spans="1:13">
      <c r="A65" s="371"/>
      <c r="B65" s="384"/>
      <c r="C65" s="385"/>
      <c r="D65" s="385"/>
      <c r="E65" s="386"/>
      <c r="F65" s="385"/>
      <c r="G65" s="385"/>
      <c r="H65" s="387"/>
      <c r="I65" s="383"/>
      <c r="J65" s="383"/>
      <c r="K65" s="383"/>
      <c r="L65" s="14"/>
      <c r="M65" s="14"/>
    </row>
    <row r="66" spans="1:13" ht="20.65">
      <c r="A66" s="11"/>
      <c r="B66" s="388" t="s">
        <v>805</v>
      </c>
      <c r="C66" s="389"/>
      <c r="D66" s="389"/>
      <c r="E66" s="390"/>
      <c r="F66" s="389"/>
      <c r="G66" s="389"/>
      <c r="H66" s="391"/>
      <c r="I66" s="392"/>
      <c r="J66" s="392"/>
      <c r="K66" s="392"/>
      <c r="L66" s="18"/>
      <c r="M66" s="18"/>
    </row>
    <row r="67" spans="1:13">
      <c r="A67" s="11"/>
      <c r="B67" s="384"/>
      <c r="C67" s="393"/>
      <c r="D67" s="393"/>
      <c r="E67" s="394"/>
      <c r="F67" s="393"/>
      <c r="G67" s="393"/>
      <c r="H67" s="395"/>
      <c r="I67" s="392"/>
      <c r="J67" s="392"/>
      <c r="K67" s="392"/>
      <c r="L67" s="18"/>
      <c r="M67" s="18"/>
    </row>
    <row r="68" spans="1:13" ht="17.649999999999999">
      <c r="A68" s="11"/>
      <c r="B68" s="396" t="s">
        <v>806</v>
      </c>
      <c r="C68" s="393"/>
      <c r="D68" s="393"/>
      <c r="E68" s="417"/>
      <c r="F68" s="392"/>
      <c r="G68" s="392"/>
      <c r="H68" s="395"/>
      <c r="I68" s="392"/>
      <c r="J68" s="392"/>
      <c r="K68" s="392"/>
      <c r="L68" s="18"/>
      <c r="M68" s="18"/>
    </row>
    <row r="69" spans="1:13" ht="17.649999999999999">
      <c r="A69" s="11"/>
      <c r="B69" s="396" t="s">
        <v>807</v>
      </c>
      <c r="C69" s="393"/>
      <c r="D69" s="393"/>
      <c r="E69" s="417"/>
      <c r="F69" s="392"/>
      <c r="G69" s="392"/>
      <c r="H69" s="395"/>
      <c r="I69" s="392"/>
      <c r="J69" s="392"/>
      <c r="K69" s="392"/>
      <c r="L69" s="18"/>
      <c r="M69" s="18"/>
    </row>
    <row r="70" spans="1:13" ht="17.649999999999999">
      <c r="A70" s="11"/>
      <c r="B70" s="396"/>
      <c r="C70" s="393"/>
      <c r="D70" s="393"/>
      <c r="E70" s="417"/>
      <c r="F70" s="392"/>
      <c r="G70" s="392"/>
      <c r="H70" s="395"/>
      <c r="I70" s="392"/>
      <c r="J70" s="392"/>
      <c r="K70" s="392"/>
      <c r="L70" s="18"/>
      <c r="M70" s="18"/>
    </row>
    <row r="71" spans="1:13">
      <c r="A71" s="11"/>
      <c r="B71" s="384"/>
      <c r="C71" s="393"/>
      <c r="D71" s="393"/>
      <c r="E71" s="394"/>
      <c r="F71" s="393"/>
      <c r="G71" s="393"/>
      <c r="H71" s="395"/>
      <c r="I71" s="392"/>
      <c r="J71" s="392"/>
      <c r="K71" s="392"/>
      <c r="L71" s="18"/>
      <c r="M71" s="18"/>
    </row>
    <row r="72" spans="1:13" ht="17.649999999999999">
      <c r="A72" s="11"/>
      <c r="B72" s="396" t="s">
        <v>808</v>
      </c>
      <c r="C72" s="393"/>
      <c r="D72" s="393"/>
      <c r="E72" s="394"/>
      <c r="F72" s="393"/>
      <c r="G72" s="393"/>
      <c r="H72" s="395"/>
      <c r="I72" s="392"/>
      <c r="J72" s="392"/>
      <c r="K72" s="392"/>
      <c r="L72" s="18"/>
      <c r="M72" s="18"/>
    </row>
    <row r="73" spans="1:13" ht="17.649999999999999">
      <c r="A73" s="11"/>
      <c r="B73" s="396" t="s">
        <v>809</v>
      </c>
      <c r="C73" s="393"/>
      <c r="D73" s="393"/>
      <c r="E73" s="394"/>
      <c r="F73" s="393"/>
      <c r="G73" s="393"/>
      <c r="H73" s="395"/>
      <c r="I73" s="392"/>
      <c r="J73" s="392"/>
      <c r="K73" s="392"/>
      <c r="L73" s="18"/>
      <c r="M73" s="18"/>
    </row>
    <row r="74" spans="1:13" ht="17.649999999999999">
      <c r="A74" s="11"/>
      <c r="B74" s="396"/>
      <c r="C74" s="397"/>
      <c r="D74" s="393"/>
      <c r="E74" s="394"/>
      <c r="F74" s="393"/>
      <c r="G74" s="393"/>
      <c r="H74" s="395"/>
      <c r="I74" s="392"/>
      <c r="J74" s="392"/>
      <c r="K74" s="392"/>
      <c r="L74" s="18"/>
      <c r="M74" s="18"/>
    </row>
    <row r="75" spans="1:13" ht="52.9">
      <c r="A75" s="11"/>
      <c r="B75" s="412" t="s">
        <v>810</v>
      </c>
      <c r="C75" s="411"/>
      <c r="D75" s="411"/>
      <c r="E75" s="409"/>
      <c r="F75" s="393"/>
      <c r="G75" s="393"/>
      <c r="H75" s="395"/>
      <c r="I75" s="392"/>
      <c r="J75" s="392"/>
      <c r="K75" s="392"/>
      <c r="L75" s="18"/>
      <c r="M75" s="18"/>
    </row>
    <row r="76" spans="1:13" ht="17.649999999999999">
      <c r="A76" s="11"/>
      <c r="B76" s="412"/>
      <c r="C76" s="411"/>
      <c r="D76" s="411"/>
      <c r="E76" s="409"/>
      <c r="F76" s="393"/>
      <c r="G76" s="393"/>
      <c r="H76" s="395"/>
      <c r="I76" s="392"/>
      <c r="J76" s="392"/>
      <c r="K76" s="392"/>
      <c r="L76" s="18"/>
      <c r="M76" s="18"/>
    </row>
    <row r="77" spans="1:13" ht="17.649999999999999">
      <c r="A77" s="11"/>
      <c r="B77" s="415" t="s">
        <v>811</v>
      </c>
      <c r="C77" s="416"/>
      <c r="D77" s="411"/>
      <c r="E77" s="410" t="s">
        <v>812</v>
      </c>
      <c r="F77" s="393"/>
      <c r="G77" s="393"/>
      <c r="H77" s="395"/>
      <c r="I77" s="392"/>
      <c r="J77" s="392"/>
      <c r="K77" s="392"/>
      <c r="L77" s="18"/>
      <c r="M77" s="18"/>
    </row>
    <row r="78" spans="1:13" ht="17.649999999999999">
      <c r="A78" s="11"/>
      <c r="B78" s="412" t="s">
        <v>813</v>
      </c>
      <c r="C78" s="411"/>
      <c r="D78" s="411"/>
      <c r="E78" s="414" t="s">
        <v>814</v>
      </c>
      <c r="F78" s="413"/>
      <c r="G78" s="393"/>
      <c r="H78" s="395"/>
      <c r="I78" s="392"/>
      <c r="J78" s="392"/>
      <c r="K78" s="392"/>
      <c r="L78" s="18"/>
      <c r="M78" s="18"/>
    </row>
    <row r="79" spans="1:13" ht="17.649999999999999">
      <c r="A79" s="11"/>
      <c r="B79" s="396" t="s">
        <v>815</v>
      </c>
      <c r="C79" s="411"/>
      <c r="D79" s="411"/>
      <c r="E79" s="413"/>
      <c r="F79" s="413"/>
      <c r="G79" s="393"/>
      <c r="H79" s="395"/>
      <c r="I79" s="392"/>
      <c r="J79" s="392"/>
      <c r="K79" s="392"/>
      <c r="L79" s="18"/>
      <c r="M79" s="18"/>
    </row>
    <row r="80" spans="1:13" ht="17.649999999999999">
      <c r="A80" s="11"/>
      <c r="B80" s="396" t="s">
        <v>816</v>
      </c>
      <c r="C80" s="393"/>
      <c r="D80" s="393"/>
      <c r="E80" s="414"/>
      <c r="F80" s="413"/>
      <c r="G80" s="393"/>
      <c r="H80" s="395"/>
      <c r="I80" s="392"/>
      <c r="J80" s="392"/>
      <c r="K80" s="392"/>
      <c r="L80" s="18"/>
      <c r="M80" s="18"/>
    </row>
    <row r="81" spans="1:13" ht="17.649999999999999">
      <c r="A81" s="11"/>
      <c r="B81" s="396" t="s">
        <v>817</v>
      </c>
      <c r="C81" s="393"/>
      <c r="D81" s="393"/>
      <c r="E81" s="414"/>
      <c r="F81" s="413"/>
      <c r="G81" s="393"/>
      <c r="H81" s="395"/>
      <c r="I81" s="392"/>
      <c r="J81" s="392"/>
      <c r="K81" s="392"/>
      <c r="L81" s="18"/>
      <c r="M81" s="18"/>
    </row>
    <row r="82" spans="1:13" ht="17.649999999999999">
      <c r="A82" s="11"/>
      <c r="B82" s="396"/>
      <c r="C82" s="393"/>
      <c r="D82" s="393"/>
      <c r="E82" s="414"/>
      <c r="F82" s="413"/>
      <c r="G82" s="393"/>
      <c r="H82" s="395"/>
      <c r="I82" s="392"/>
      <c r="J82" s="392"/>
      <c r="K82" s="392"/>
      <c r="L82" s="18"/>
      <c r="M82" s="18"/>
    </row>
    <row r="83" spans="1:13" ht="20.65">
      <c r="A83" s="11"/>
      <c r="B83" s="388" t="s">
        <v>818</v>
      </c>
      <c r="C83" s="389"/>
      <c r="D83" s="389"/>
      <c r="E83" s="390"/>
      <c r="F83" s="389"/>
      <c r="G83" s="389"/>
      <c r="H83" s="391"/>
      <c r="I83" s="392"/>
      <c r="J83" s="392"/>
      <c r="K83" s="392"/>
      <c r="L83" s="18"/>
      <c r="M83" s="18"/>
    </row>
    <row r="84" spans="1:13">
      <c r="A84" s="11"/>
      <c r="B84" s="398"/>
      <c r="C84" s="393"/>
      <c r="D84" s="393"/>
      <c r="E84" s="394"/>
      <c r="F84" s="393"/>
      <c r="G84" s="393"/>
      <c r="H84" s="395"/>
      <c r="I84" s="392"/>
      <c r="J84" s="392"/>
      <c r="K84" s="392"/>
      <c r="L84" s="18"/>
      <c r="M84" s="18"/>
    </row>
    <row r="85" spans="1:13" ht="17.649999999999999">
      <c r="A85" s="11"/>
      <c r="B85" s="396" t="s">
        <v>819</v>
      </c>
      <c r="C85" s="393"/>
      <c r="D85" s="393"/>
      <c r="E85" s="394"/>
      <c r="F85" s="393"/>
      <c r="G85" s="393"/>
      <c r="H85" s="395"/>
      <c r="I85" s="392"/>
      <c r="J85" s="392"/>
      <c r="K85" s="392"/>
      <c r="L85" s="18"/>
      <c r="M85" s="18"/>
    </row>
    <row r="86" spans="1:13" ht="17.649999999999999">
      <c r="A86" s="11"/>
      <c r="B86" s="396" t="s">
        <v>820</v>
      </c>
      <c r="C86" s="393"/>
      <c r="D86" s="393"/>
      <c r="E86" s="394"/>
      <c r="F86" s="393"/>
      <c r="G86" s="393"/>
      <c r="H86" s="395"/>
      <c r="I86" s="392"/>
      <c r="J86" s="392"/>
      <c r="K86" s="392"/>
      <c r="L86" s="18"/>
      <c r="M86" s="18"/>
    </row>
    <row r="87" spans="1:13">
      <c r="A87" s="11"/>
      <c r="B87" s="398"/>
      <c r="C87" s="393"/>
      <c r="D87" s="393"/>
      <c r="E87" s="394"/>
      <c r="F87" s="393"/>
      <c r="G87" s="393"/>
      <c r="H87" s="395"/>
      <c r="I87" s="392"/>
      <c r="J87" s="392"/>
      <c r="K87" s="392"/>
      <c r="L87" s="18"/>
      <c r="M87" s="18"/>
    </row>
    <row r="88" spans="1:13">
      <c r="A88" s="11"/>
      <c r="B88" s="398"/>
      <c r="C88" s="393"/>
      <c r="D88" s="393"/>
      <c r="E88" s="394"/>
      <c r="F88" s="393"/>
      <c r="G88" s="393"/>
      <c r="H88" s="395"/>
      <c r="I88" s="392"/>
      <c r="J88" s="392"/>
      <c r="K88" s="392"/>
      <c r="L88" s="18"/>
      <c r="M88" s="18"/>
    </row>
    <row r="89" spans="1:13">
      <c r="A89" s="11"/>
      <c r="B89" s="398"/>
      <c r="C89" s="393"/>
      <c r="D89" s="393"/>
      <c r="E89" s="394"/>
      <c r="F89" s="393"/>
      <c r="G89" s="393"/>
      <c r="H89" s="395"/>
      <c r="I89" s="392"/>
      <c r="J89" s="392"/>
      <c r="K89" s="392"/>
      <c r="L89" s="18"/>
      <c r="M89" s="18"/>
    </row>
    <row r="90" spans="1:13" ht="20.65">
      <c r="A90" s="11"/>
      <c r="B90" s="399" t="s">
        <v>821</v>
      </c>
      <c r="C90" s="393"/>
      <c r="D90" s="393"/>
      <c r="E90" s="394"/>
      <c r="F90" s="393"/>
      <c r="G90" s="393"/>
      <c r="H90" s="395"/>
      <c r="I90" s="392"/>
      <c r="J90" s="392"/>
      <c r="K90" s="392"/>
      <c r="L90" s="18"/>
      <c r="M90" s="18"/>
    </row>
    <row r="91" spans="1:13" ht="18" customHeight="1">
      <c r="A91" s="13" t="s">
        <v>822</v>
      </c>
      <c r="B91" s="679" t="s">
        <v>823</v>
      </c>
      <c r="C91" s="680"/>
      <c r="D91" s="680"/>
      <c r="E91" s="680"/>
      <c r="F91" s="680"/>
      <c r="G91" s="393"/>
      <c r="H91" s="395"/>
      <c r="I91" s="392"/>
      <c r="J91" s="392"/>
      <c r="K91" s="392"/>
      <c r="L91" s="18"/>
      <c r="M91" s="18"/>
    </row>
    <row r="92" spans="1:13" ht="18" customHeight="1">
      <c r="A92" s="13" t="s">
        <v>822</v>
      </c>
      <c r="B92" s="679"/>
      <c r="C92" s="680"/>
      <c r="D92" s="680"/>
      <c r="E92" s="680"/>
      <c r="F92" s="680"/>
      <c r="G92" s="393"/>
      <c r="H92" s="395"/>
      <c r="I92" s="392"/>
      <c r="J92" s="392"/>
      <c r="K92" s="392"/>
      <c r="L92" s="18"/>
      <c r="M92" s="18"/>
    </row>
    <row r="93" spans="1:13" ht="17.649999999999999">
      <c r="A93" s="11"/>
      <c r="B93" s="400"/>
      <c r="C93" s="393"/>
      <c r="D93" s="393"/>
      <c r="E93" s="394"/>
      <c r="F93" s="393"/>
      <c r="G93" s="393"/>
      <c r="H93" s="395"/>
      <c r="I93" s="392"/>
      <c r="J93" s="392"/>
      <c r="K93" s="392"/>
      <c r="L93" s="18"/>
      <c r="M93" s="18"/>
    </row>
    <row r="94" spans="1:13" ht="20.65">
      <c r="A94" s="11"/>
      <c r="B94" s="399" t="s">
        <v>824</v>
      </c>
      <c r="C94" s="393"/>
      <c r="D94" s="393"/>
      <c r="E94" s="394"/>
      <c r="F94" s="393"/>
      <c r="G94" s="393"/>
      <c r="H94" s="395"/>
      <c r="I94" s="392"/>
      <c r="J94" s="392"/>
      <c r="K94" s="392"/>
      <c r="L94" s="18"/>
      <c r="M94" s="18"/>
    </row>
    <row r="95" spans="1:13" ht="17.649999999999999">
      <c r="A95" s="11"/>
      <c r="B95" s="396" t="s">
        <v>825</v>
      </c>
      <c r="C95" s="393"/>
      <c r="D95" s="393"/>
      <c r="E95" s="394"/>
      <c r="F95" s="393"/>
      <c r="G95" s="393"/>
      <c r="H95" s="395"/>
      <c r="I95" s="392"/>
      <c r="J95" s="392"/>
      <c r="K95" s="392"/>
      <c r="L95" s="18"/>
      <c r="M95" s="18"/>
    </row>
    <row r="96" spans="1:13">
      <c r="A96" s="11"/>
      <c r="B96" s="398"/>
      <c r="C96" s="393"/>
      <c r="D96" s="393"/>
      <c r="E96" s="394"/>
      <c r="F96" s="393"/>
      <c r="G96" s="393"/>
      <c r="H96" s="395"/>
      <c r="I96" s="392"/>
      <c r="J96" s="392"/>
      <c r="K96" s="392"/>
      <c r="L96" s="18"/>
      <c r="M96" s="18"/>
    </row>
    <row r="97" spans="1:13">
      <c r="A97" s="11"/>
      <c r="B97" s="398"/>
      <c r="C97" s="393"/>
      <c r="D97" s="393"/>
      <c r="E97" s="394"/>
      <c r="F97" s="393"/>
      <c r="G97" s="393"/>
      <c r="H97" s="395"/>
      <c r="I97" s="392"/>
      <c r="J97" s="392"/>
      <c r="K97" s="392"/>
      <c r="L97" s="18"/>
      <c r="M97" s="18"/>
    </row>
    <row r="98" spans="1:13">
      <c r="A98" s="11"/>
      <c r="B98" s="401" t="s">
        <v>826</v>
      </c>
      <c r="C98" s="402"/>
      <c r="D98" s="402"/>
      <c r="E98" s="403"/>
      <c r="F98" s="402"/>
      <c r="G98" s="402"/>
      <c r="H98" s="404"/>
      <c r="I98" s="392"/>
      <c r="J98" s="392"/>
      <c r="K98" s="392"/>
      <c r="L98" s="18"/>
      <c r="M98" s="18"/>
    </row>
    <row r="99" spans="1:13">
      <c r="A99" s="11"/>
      <c r="B99" s="11"/>
      <c r="C99" s="11"/>
      <c r="D99" s="12"/>
      <c r="E99" s="11"/>
      <c r="F99" s="11"/>
      <c r="G99" s="11"/>
      <c r="H99" s="11"/>
      <c r="I99" s="11"/>
      <c r="J99" s="11"/>
      <c r="K99" s="11"/>
    </row>
    <row r="100" spans="1:13">
      <c r="A100" s="11"/>
      <c r="B100" s="11"/>
      <c r="C100" s="11"/>
      <c r="D100" s="12"/>
      <c r="E100" s="11"/>
      <c r="F100" s="11"/>
      <c r="G100" s="11"/>
      <c r="H100" s="11"/>
      <c r="I100" s="11"/>
      <c r="J100" s="11"/>
      <c r="K100" s="11"/>
    </row>
    <row r="101" spans="1:13">
      <c r="A101" s="11"/>
      <c r="B101" s="371" t="s">
        <v>827</v>
      </c>
      <c r="C101" s="11"/>
      <c r="D101" s="12"/>
      <c r="E101" s="11"/>
      <c r="F101" s="11"/>
      <c r="G101" s="11"/>
      <c r="H101" s="11"/>
      <c r="I101" s="11"/>
      <c r="J101" s="11"/>
      <c r="K101" s="11"/>
    </row>
    <row r="102" spans="1:13" ht="16.149999999999999" thickBot="1">
      <c r="A102" s="11"/>
      <c r="B102" s="371"/>
      <c r="C102" s="11"/>
      <c r="D102" s="12"/>
      <c r="E102" s="11"/>
      <c r="F102" s="11"/>
      <c r="G102" s="11"/>
      <c r="H102" s="11"/>
      <c r="I102" s="11"/>
      <c r="J102" s="11"/>
      <c r="K102" s="11"/>
    </row>
    <row r="103" spans="1:13" ht="16.149999999999999" thickBot="1">
      <c r="A103" s="11"/>
      <c r="B103" s="408" t="s">
        <v>828</v>
      </c>
      <c r="C103" s="686" t="s">
        <v>829</v>
      </c>
      <c r="D103" s="686"/>
      <c r="E103" s="686"/>
      <c r="F103" s="686"/>
      <c r="G103" s="687"/>
      <c r="H103" s="688"/>
      <c r="I103" s="11"/>
      <c r="J103" s="11"/>
      <c r="K103" s="11"/>
    </row>
    <row r="104" spans="1:13">
      <c r="A104" s="11"/>
      <c r="B104" s="506">
        <v>44290</v>
      </c>
      <c r="C104" s="691" t="s">
        <v>830</v>
      </c>
      <c r="D104" s="691"/>
      <c r="E104" s="691"/>
      <c r="F104" s="691"/>
      <c r="G104" s="691"/>
      <c r="H104" s="692"/>
      <c r="I104" s="11"/>
      <c r="J104" s="11"/>
      <c r="K104" s="11"/>
    </row>
    <row r="105" spans="1:13">
      <c r="A105" s="11"/>
      <c r="B105" s="507" t="s">
        <v>831</v>
      </c>
      <c r="C105" s="689" t="s">
        <v>832</v>
      </c>
      <c r="D105" s="689"/>
      <c r="E105" s="689"/>
      <c r="F105" s="689"/>
      <c r="G105" s="689"/>
      <c r="H105" s="690"/>
      <c r="I105" s="11"/>
      <c r="J105" s="11"/>
      <c r="K105" s="11"/>
    </row>
    <row r="106" spans="1:13">
      <c r="A106" s="11"/>
      <c r="B106" s="508" t="s">
        <v>833</v>
      </c>
      <c r="C106" s="689" t="s">
        <v>834</v>
      </c>
      <c r="D106" s="689"/>
      <c r="E106" s="689"/>
      <c r="F106" s="689"/>
      <c r="G106" s="689"/>
      <c r="H106" s="690"/>
      <c r="I106" s="11"/>
      <c r="J106" s="11"/>
      <c r="K106" s="11"/>
    </row>
    <row r="107" spans="1:13">
      <c r="A107" s="11"/>
      <c r="B107" s="507">
        <v>44628</v>
      </c>
      <c r="C107" s="689" t="s">
        <v>835</v>
      </c>
      <c r="D107" s="689"/>
      <c r="E107" s="689"/>
      <c r="F107" s="689"/>
      <c r="G107" s="689"/>
      <c r="H107" s="690"/>
      <c r="I107" s="11"/>
      <c r="J107" s="11"/>
      <c r="K107" s="11"/>
    </row>
    <row r="108" spans="1:13">
      <c r="A108" s="11"/>
      <c r="B108" s="507" t="s">
        <v>836</v>
      </c>
      <c r="C108" s="689" t="s">
        <v>837</v>
      </c>
      <c r="D108" s="689"/>
      <c r="E108" s="689"/>
      <c r="F108" s="689"/>
      <c r="G108" s="689"/>
      <c r="H108" s="690"/>
      <c r="I108" s="11"/>
      <c r="J108" s="11"/>
      <c r="K108" s="11"/>
    </row>
    <row r="109" spans="1:13">
      <c r="A109" s="11"/>
      <c r="B109" s="507" t="s">
        <v>838</v>
      </c>
      <c r="C109" s="689" t="s">
        <v>839</v>
      </c>
      <c r="D109" s="689"/>
      <c r="E109" s="689"/>
      <c r="F109" s="689"/>
      <c r="G109" s="689"/>
      <c r="H109" s="690"/>
      <c r="I109" s="11"/>
      <c r="J109" s="11"/>
      <c r="K109" s="11"/>
    </row>
    <row r="110" spans="1:13">
      <c r="A110" s="11"/>
      <c r="B110" s="507" t="s">
        <v>840</v>
      </c>
      <c r="C110" s="689" t="s">
        <v>834</v>
      </c>
      <c r="D110" s="689"/>
      <c r="E110" s="689"/>
      <c r="F110" s="689"/>
      <c r="G110" s="689"/>
      <c r="H110" s="690"/>
      <c r="I110" s="11"/>
      <c r="J110" s="11"/>
      <c r="K110" s="11"/>
    </row>
    <row r="111" spans="1:13" ht="16.149999999999999" thickBot="1">
      <c r="A111" s="11"/>
      <c r="B111" s="509" t="s">
        <v>841</v>
      </c>
      <c r="C111" s="673" t="s">
        <v>842</v>
      </c>
      <c r="D111" s="673"/>
      <c r="E111" s="673"/>
      <c r="F111" s="673"/>
      <c r="G111" s="673"/>
      <c r="H111" s="674"/>
      <c r="I111" s="11"/>
      <c r="J111" s="11"/>
      <c r="K111" s="11"/>
    </row>
    <row r="112" spans="1:13">
      <c r="A112" s="11"/>
      <c r="B112" s="16" t="s">
        <v>843</v>
      </c>
      <c r="C112" s="13">
        <v>80123558</v>
      </c>
      <c r="D112" s="12"/>
      <c r="E112" s="11"/>
      <c r="F112" s="11"/>
      <c r="G112" s="11"/>
      <c r="H112" s="11"/>
      <c r="I112" s="11"/>
      <c r="J112" s="11"/>
      <c r="K112" s="11"/>
    </row>
    <row r="113" spans="2:2">
      <c r="B113" s="17"/>
    </row>
    <row r="114" spans="2:2">
      <c r="B114" s="17"/>
    </row>
    <row r="115" spans="2:2">
      <c r="B115" s="17"/>
    </row>
    <row r="116" spans="2:2">
      <c r="B116" s="17"/>
    </row>
    <row r="117" spans="2:2">
      <c r="B117" s="17"/>
    </row>
    <row r="118" spans="2:2">
      <c r="B118" s="17"/>
    </row>
    <row r="119" spans="2:2">
      <c r="B119" s="17"/>
    </row>
    <row r="120" spans="2:2">
      <c r="B120" s="17"/>
    </row>
    <row r="121" spans="2:2">
      <c r="B121" s="17"/>
    </row>
    <row r="122" spans="2:2">
      <c r="B122" s="17"/>
    </row>
    <row r="123" spans="2:2">
      <c r="B123" s="17"/>
    </row>
    <row r="124" spans="2:2">
      <c r="B124" s="17"/>
    </row>
    <row r="125" spans="2:2">
      <c r="B125" s="17"/>
    </row>
    <row r="126" spans="2:2">
      <c r="B126" s="17"/>
    </row>
    <row r="127" spans="2:2">
      <c r="B127" s="17"/>
    </row>
    <row r="128" spans="2:2">
      <c r="B128" s="17"/>
    </row>
    <row r="129" spans="2:2">
      <c r="B129" s="17"/>
    </row>
    <row r="130" spans="2:2">
      <c r="B130" s="17"/>
    </row>
    <row r="131" spans="2:2">
      <c r="B131" s="17"/>
    </row>
    <row r="132" spans="2:2">
      <c r="B132" s="17"/>
    </row>
    <row r="133" spans="2:2">
      <c r="B133" s="17"/>
    </row>
    <row r="134" spans="2:2">
      <c r="B134" s="17"/>
    </row>
    <row r="135" spans="2:2">
      <c r="B135" s="17"/>
    </row>
    <row r="136" spans="2:2">
      <c r="B136" s="17"/>
    </row>
    <row r="137" spans="2:2">
      <c r="B137" s="17"/>
    </row>
    <row r="138" spans="2:2">
      <c r="B138" s="17"/>
    </row>
    <row r="139" spans="2:2">
      <c r="B139" s="17"/>
    </row>
    <row r="140" spans="2:2">
      <c r="B140" s="17"/>
    </row>
    <row r="141" spans="2:2">
      <c r="B141" s="17"/>
    </row>
    <row r="142" spans="2:2">
      <c r="B142" s="17"/>
    </row>
    <row r="143" spans="2:2">
      <c r="B143" s="17"/>
    </row>
    <row r="144" spans="2:2">
      <c r="B144" s="17"/>
    </row>
    <row r="145" spans="2:2">
      <c r="B145" s="17"/>
    </row>
    <row r="146" spans="2:2">
      <c r="B146" s="17"/>
    </row>
    <row r="147" spans="2:2">
      <c r="B147" s="17"/>
    </row>
    <row r="148" spans="2:2">
      <c r="B148" s="17"/>
    </row>
    <row r="149" spans="2:2">
      <c r="B149" s="17"/>
    </row>
    <row r="150" spans="2:2">
      <c r="B150" s="17"/>
    </row>
    <row r="151" spans="2:2">
      <c r="B151" s="17"/>
    </row>
    <row r="152" spans="2:2">
      <c r="B152" s="17"/>
    </row>
    <row r="153" spans="2:2">
      <c r="B153" s="17"/>
    </row>
    <row r="154" spans="2:2">
      <c r="B154" s="17"/>
    </row>
    <row r="155" spans="2:2">
      <c r="B155" s="17"/>
    </row>
    <row r="156" spans="2:2">
      <c r="B156" s="17"/>
    </row>
    <row r="157" spans="2:2">
      <c r="B157" s="17"/>
    </row>
    <row r="158" spans="2:2">
      <c r="B158" s="17"/>
    </row>
    <row r="159" spans="2:2">
      <c r="B159" s="17"/>
    </row>
    <row r="160" spans="2:2">
      <c r="B160" s="17"/>
    </row>
    <row r="161" spans="2:2">
      <c r="B161" s="17"/>
    </row>
    <row r="162" spans="2:2">
      <c r="B162" s="17"/>
    </row>
    <row r="163" spans="2:2">
      <c r="B163" s="17"/>
    </row>
    <row r="164" spans="2:2">
      <c r="B164" s="17"/>
    </row>
    <row r="165" spans="2:2">
      <c r="B165" s="17"/>
    </row>
    <row r="166" spans="2:2">
      <c r="B166" s="17"/>
    </row>
    <row r="167" spans="2:2">
      <c r="B167" s="17"/>
    </row>
    <row r="168" spans="2:2">
      <c r="B168" s="17"/>
    </row>
    <row r="169" spans="2:2">
      <c r="B169" s="17"/>
    </row>
    <row r="170" spans="2:2">
      <c r="B170" s="17"/>
    </row>
    <row r="171" spans="2:2">
      <c r="B171" s="17"/>
    </row>
    <row r="172" spans="2:2">
      <c r="B172" s="17"/>
    </row>
    <row r="173" spans="2:2">
      <c r="B173" s="17"/>
    </row>
    <row r="174" spans="2:2">
      <c r="B174" s="17"/>
    </row>
    <row r="175" spans="2:2">
      <c r="B175" s="17"/>
    </row>
    <row r="176" spans="2:2">
      <c r="B176" s="17"/>
    </row>
    <row r="177" spans="2:2">
      <c r="B177" s="17"/>
    </row>
    <row r="178" spans="2:2">
      <c r="B178" s="17"/>
    </row>
    <row r="179" spans="2:2">
      <c r="B179" s="17"/>
    </row>
    <row r="180" spans="2:2">
      <c r="B180" s="17"/>
    </row>
    <row r="181" spans="2:2">
      <c r="B181" s="17"/>
    </row>
    <row r="182" spans="2:2">
      <c r="B182" s="17"/>
    </row>
    <row r="183" spans="2:2">
      <c r="B183" s="17"/>
    </row>
    <row r="184" spans="2:2">
      <c r="B184" s="17"/>
    </row>
    <row r="185" spans="2:2">
      <c r="B185" s="17"/>
    </row>
    <row r="186" spans="2:2">
      <c r="B186" s="17"/>
    </row>
    <row r="187" spans="2:2">
      <c r="B187" s="17"/>
    </row>
    <row r="188" spans="2:2">
      <c r="B188" s="17"/>
    </row>
    <row r="189" spans="2:2">
      <c r="B189" s="17"/>
    </row>
    <row r="190" spans="2:2">
      <c r="B190" s="17"/>
    </row>
    <row r="191" spans="2:2">
      <c r="B191" s="17"/>
    </row>
    <row r="192" spans="2:2">
      <c r="B192" s="17"/>
    </row>
    <row r="193" spans="2:2">
      <c r="B193" s="17"/>
    </row>
    <row r="194" spans="2:2">
      <c r="B194" s="17"/>
    </row>
    <row r="195" spans="2:2">
      <c r="B195" s="17"/>
    </row>
    <row r="196" spans="2:2">
      <c r="B196" s="17"/>
    </row>
    <row r="197" spans="2:2">
      <c r="B197" s="17"/>
    </row>
    <row r="198" spans="2:2">
      <c r="B198" s="17"/>
    </row>
    <row r="199" spans="2:2">
      <c r="B199" s="17"/>
    </row>
    <row r="200" spans="2:2">
      <c r="B200" s="17"/>
    </row>
    <row r="201" spans="2:2">
      <c r="B201" s="17"/>
    </row>
    <row r="202" spans="2:2">
      <c r="B202" s="17"/>
    </row>
    <row r="203" spans="2:2">
      <c r="B203" s="17"/>
    </row>
    <row r="204" spans="2:2">
      <c r="B204" s="17"/>
    </row>
    <row r="205" spans="2:2">
      <c r="B205" s="17"/>
    </row>
    <row r="206" spans="2:2">
      <c r="B206" s="17"/>
    </row>
    <row r="207" spans="2:2">
      <c r="B207" s="17"/>
    </row>
    <row r="208" spans="2:2">
      <c r="B208" s="17"/>
    </row>
    <row r="209" spans="2:2">
      <c r="B209" s="17"/>
    </row>
    <row r="210" spans="2:2">
      <c r="B210" s="17"/>
    </row>
    <row r="211" spans="2:2">
      <c r="B211" s="17"/>
    </row>
    <row r="212" spans="2:2">
      <c r="B212" s="17"/>
    </row>
    <row r="213" spans="2:2">
      <c r="B213" s="17"/>
    </row>
    <row r="214" spans="2:2">
      <c r="B214" s="17"/>
    </row>
    <row r="215" spans="2:2">
      <c r="B215" s="17"/>
    </row>
    <row r="216" spans="2:2">
      <c r="B216" s="17"/>
    </row>
  </sheetData>
  <sheetProtection algorithmName="SHA-512" hashValue="dzS4XMwF1Cf+pOYbGzrFbmx7nFZ48bTkLxml8EvzuYokiomeaNtuCWAiN3Ba4f2XozEs4Pg8lGIQHkF4mjmkdw==" saltValue="fenJIWf1jUfF7hnwJMxwrQ==" spinCount="100000" sheet="1" objects="1" scenarios="1" selectLockedCells="1" selectUnlockedCells="1"/>
  <mergeCells count="16">
    <mergeCell ref="C111:H111"/>
    <mergeCell ref="A4:A8"/>
    <mergeCell ref="A9:A10"/>
    <mergeCell ref="B91:F92"/>
    <mergeCell ref="A11:B11"/>
    <mergeCell ref="A13:B13"/>
    <mergeCell ref="A14:B14"/>
    <mergeCell ref="A15:B15"/>
    <mergeCell ref="C103:H103"/>
    <mergeCell ref="C107:H107"/>
    <mergeCell ref="C108:H108"/>
    <mergeCell ref="C109:H109"/>
    <mergeCell ref="C104:H104"/>
    <mergeCell ref="C105:H105"/>
    <mergeCell ref="C106:H106"/>
    <mergeCell ref="C110:H110"/>
  </mergeCells>
  <pageMargins left="0.7" right="0.7" top="0.75" bottom="0.75" header="0.3" footer="0.3"/>
  <pageSetup scale="3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M35"/>
  <sheetViews>
    <sheetView topLeftCell="A19" workbookViewId="0">
      <selection activeCell="E16" sqref="E16"/>
    </sheetView>
  </sheetViews>
  <sheetFormatPr defaultColWidth="11.375" defaultRowHeight="14.25"/>
  <cols>
    <col min="1" max="1" width="60.25" customWidth="1"/>
    <col min="2" max="2" width="13" customWidth="1"/>
    <col min="3" max="3" width="15.375" customWidth="1"/>
    <col min="5" max="5" width="11.375" customWidth="1"/>
    <col min="7" max="7" width="14.375" customWidth="1"/>
  </cols>
  <sheetData>
    <row r="1" spans="1:13" ht="26.25" customHeight="1">
      <c r="A1" s="1" t="s">
        <v>844</v>
      </c>
      <c r="B1" s="693" t="s">
        <v>845</v>
      </c>
      <c r="C1" s="693"/>
      <c r="D1" s="693"/>
      <c r="E1" s="693" t="s">
        <v>846</v>
      </c>
      <c r="F1" s="693"/>
      <c r="G1" s="693"/>
      <c r="H1" s="693"/>
      <c r="I1" s="693"/>
      <c r="J1" s="693"/>
      <c r="K1" s="693"/>
      <c r="M1" s="5"/>
    </row>
    <row r="2" spans="1:13" ht="26.25" customHeight="1">
      <c r="A2" s="1"/>
      <c r="B2" s="1"/>
      <c r="C2" s="1"/>
      <c r="D2" s="1"/>
      <c r="G2" s="2" t="s">
        <v>847</v>
      </c>
      <c r="I2" s="2" t="s">
        <v>848</v>
      </c>
      <c r="L2" s="5"/>
      <c r="M2" s="5"/>
    </row>
    <row r="3" spans="1:13" ht="33" customHeight="1">
      <c r="A3" s="2" t="s">
        <v>592</v>
      </c>
      <c r="B3" s="694" t="s">
        <v>849</v>
      </c>
      <c r="C3" s="694" t="s">
        <v>850</v>
      </c>
      <c r="D3" s="694"/>
      <c r="E3" s="695" t="s">
        <v>595</v>
      </c>
      <c r="F3" s="694" t="s">
        <v>596</v>
      </c>
      <c r="G3" s="694" t="s">
        <v>597</v>
      </c>
      <c r="H3" s="694" t="s">
        <v>851</v>
      </c>
      <c r="I3" s="694" t="s">
        <v>852</v>
      </c>
      <c r="J3" s="694" t="s">
        <v>850</v>
      </c>
      <c r="K3" s="694"/>
      <c r="L3" s="694" t="s">
        <v>853</v>
      </c>
      <c r="M3" s="694"/>
    </row>
    <row r="4" spans="1:13">
      <c r="A4" s="2"/>
      <c r="B4" s="694"/>
      <c r="C4" s="3">
        <v>1995</v>
      </c>
      <c r="D4" s="2">
        <v>2007</v>
      </c>
      <c r="E4" s="695"/>
      <c r="F4" s="694"/>
      <c r="G4" s="694"/>
      <c r="H4" s="694"/>
      <c r="I4" s="694"/>
      <c r="J4" s="2">
        <v>1995</v>
      </c>
      <c r="K4" s="2">
        <v>2007</v>
      </c>
      <c r="L4" s="2">
        <v>1995</v>
      </c>
      <c r="M4" s="2">
        <v>2007</v>
      </c>
    </row>
    <row r="5" spans="1:13">
      <c r="A5" s="2">
        <v>0</v>
      </c>
      <c r="B5" s="3">
        <v>0</v>
      </c>
      <c r="C5" s="3">
        <v>0</v>
      </c>
      <c r="D5" s="2">
        <v>0</v>
      </c>
      <c r="E5" s="2">
        <v>0</v>
      </c>
      <c r="F5" s="3">
        <v>0</v>
      </c>
      <c r="G5" s="3">
        <v>0</v>
      </c>
      <c r="H5" s="3">
        <v>0</v>
      </c>
      <c r="I5" s="3">
        <v>0</v>
      </c>
      <c r="J5" s="2">
        <v>0</v>
      </c>
      <c r="K5" s="2">
        <v>0</v>
      </c>
      <c r="L5" s="2">
        <v>0</v>
      </c>
      <c r="M5" s="2">
        <v>0</v>
      </c>
    </row>
    <row r="6" spans="1:13">
      <c r="A6" t="s">
        <v>630</v>
      </c>
      <c r="B6">
        <v>1</v>
      </c>
      <c r="C6" s="4">
        <f>+B6*21</f>
        <v>21</v>
      </c>
      <c r="D6" s="4">
        <f>+B6*25</f>
        <v>25</v>
      </c>
      <c r="E6">
        <v>40</v>
      </c>
      <c r="F6">
        <v>0.99</v>
      </c>
      <c r="G6" s="4">
        <f>+E6*F6</f>
        <v>39.6</v>
      </c>
      <c r="H6">
        <v>0.02</v>
      </c>
      <c r="I6" s="6">
        <f>+G6*H6*44/28</f>
        <v>1.2445714285714284</v>
      </c>
      <c r="J6" s="6">
        <f>+I6*310</f>
        <v>385.81714285714281</v>
      </c>
      <c r="K6" s="6">
        <f>+I6*298</f>
        <v>370.88228571428567</v>
      </c>
      <c r="L6" s="7">
        <f>+C6+J6</f>
        <v>406.81714285714281</v>
      </c>
      <c r="M6" s="7">
        <f>+D6+K6</f>
        <v>395.88228571428567</v>
      </c>
    </row>
    <row r="7" spans="1:13">
      <c r="A7" t="s">
        <v>633</v>
      </c>
      <c r="B7">
        <v>1</v>
      </c>
      <c r="C7" s="4">
        <f t="shared" ref="C7:C35" si="0">+B7*21</f>
        <v>21</v>
      </c>
      <c r="D7" s="4">
        <f t="shared" ref="D7:D35" si="1">+B7*25</f>
        <v>25</v>
      </c>
      <c r="E7">
        <v>40</v>
      </c>
      <c r="F7">
        <v>0.99</v>
      </c>
      <c r="G7" s="4">
        <f t="shared" ref="G7:G35" si="2">+E7*F7</f>
        <v>39.6</v>
      </c>
      <c r="H7">
        <v>0.02</v>
      </c>
      <c r="I7" s="6">
        <f t="shared" ref="I7:I35" si="3">+G7*H7*44/28</f>
        <v>1.2445714285714284</v>
      </c>
      <c r="J7" s="6">
        <f t="shared" ref="J7:J35" si="4">+I7*310</f>
        <v>385.81714285714281</v>
      </c>
      <c r="K7" s="6">
        <f t="shared" ref="K7:K35" si="5">+I7*298</f>
        <v>370.88228571428567</v>
      </c>
      <c r="L7" s="7">
        <f t="shared" ref="L7:L35" si="6">+C7+J7</f>
        <v>406.81714285714281</v>
      </c>
      <c r="M7" s="7">
        <f t="shared" ref="M7:M35" si="7">+D7+K7</f>
        <v>395.88228571428567</v>
      </c>
    </row>
    <row r="8" spans="1:13">
      <c r="A8" t="s">
        <v>635</v>
      </c>
      <c r="B8">
        <v>1</v>
      </c>
      <c r="C8" s="4">
        <f t="shared" si="0"/>
        <v>21</v>
      </c>
      <c r="D8" s="4">
        <f t="shared" si="1"/>
        <v>25</v>
      </c>
      <c r="E8">
        <v>40</v>
      </c>
      <c r="F8">
        <v>0.99</v>
      </c>
      <c r="G8" s="4">
        <f t="shared" si="2"/>
        <v>39.6</v>
      </c>
      <c r="H8">
        <v>0.02</v>
      </c>
      <c r="I8" s="6">
        <f t="shared" si="3"/>
        <v>1.2445714285714284</v>
      </c>
      <c r="J8" s="6">
        <f t="shared" si="4"/>
        <v>385.81714285714281</v>
      </c>
      <c r="K8" s="6">
        <f t="shared" si="5"/>
        <v>370.88228571428567</v>
      </c>
      <c r="L8" s="7">
        <f t="shared" si="6"/>
        <v>406.81714285714281</v>
      </c>
      <c r="M8" s="7">
        <f t="shared" si="7"/>
        <v>395.88228571428567</v>
      </c>
    </row>
    <row r="9" spans="1:13">
      <c r="A9" t="s">
        <v>627</v>
      </c>
      <c r="B9">
        <v>0</v>
      </c>
      <c r="C9" s="4">
        <f t="shared" si="0"/>
        <v>0</v>
      </c>
      <c r="D9" s="4">
        <f t="shared" si="1"/>
        <v>0</v>
      </c>
      <c r="E9">
        <v>70</v>
      </c>
      <c r="F9">
        <v>0.36</v>
      </c>
      <c r="G9" s="4">
        <f t="shared" si="2"/>
        <v>25.2</v>
      </c>
      <c r="H9">
        <v>0.02</v>
      </c>
      <c r="I9" s="6">
        <f t="shared" si="3"/>
        <v>0.79200000000000004</v>
      </c>
      <c r="J9" s="6">
        <f t="shared" si="4"/>
        <v>245.52</v>
      </c>
      <c r="K9" s="6">
        <f t="shared" si="5"/>
        <v>236.01600000000002</v>
      </c>
      <c r="L9" s="7">
        <f t="shared" si="6"/>
        <v>245.52</v>
      </c>
      <c r="M9" s="7">
        <f t="shared" si="7"/>
        <v>236.01600000000002</v>
      </c>
    </row>
    <row r="10" spans="1:13">
      <c r="A10" t="s">
        <v>632</v>
      </c>
      <c r="B10">
        <v>1</v>
      </c>
      <c r="C10" s="4">
        <f t="shared" si="0"/>
        <v>21</v>
      </c>
      <c r="D10" s="4">
        <f t="shared" si="1"/>
        <v>25</v>
      </c>
      <c r="E10">
        <v>70</v>
      </c>
      <c r="F10">
        <v>0.36</v>
      </c>
      <c r="G10" s="4">
        <f t="shared" si="2"/>
        <v>25.2</v>
      </c>
      <c r="H10">
        <v>0.02</v>
      </c>
      <c r="I10" s="6">
        <f t="shared" si="3"/>
        <v>0.79200000000000004</v>
      </c>
      <c r="J10" s="6">
        <f t="shared" si="4"/>
        <v>245.52</v>
      </c>
      <c r="K10" s="6">
        <f t="shared" si="5"/>
        <v>236.01600000000002</v>
      </c>
      <c r="L10" s="7">
        <f t="shared" si="6"/>
        <v>266.52</v>
      </c>
      <c r="M10" s="7">
        <f t="shared" si="7"/>
        <v>261.01600000000002</v>
      </c>
    </row>
    <row r="11" spans="1:13">
      <c r="A11" t="s">
        <v>634</v>
      </c>
      <c r="B11">
        <v>2</v>
      </c>
      <c r="C11" s="4">
        <f t="shared" si="0"/>
        <v>42</v>
      </c>
      <c r="D11" s="4">
        <f t="shared" si="1"/>
        <v>50</v>
      </c>
      <c r="E11">
        <v>70</v>
      </c>
      <c r="F11">
        <v>0.36</v>
      </c>
      <c r="G11" s="4">
        <f t="shared" si="2"/>
        <v>25.2</v>
      </c>
      <c r="H11">
        <v>0.02</v>
      </c>
      <c r="I11" s="6">
        <f t="shared" si="3"/>
        <v>0.79200000000000004</v>
      </c>
      <c r="J11" s="6">
        <f t="shared" si="4"/>
        <v>245.52</v>
      </c>
      <c r="K11" s="6">
        <f t="shared" si="5"/>
        <v>236.01600000000002</v>
      </c>
      <c r="L11" s="7">
        <f t="shared" si="6"/>
        <v>287.52</v>
      </c>
      <c r="M11" s="7">
        <f t="shared" si="7"/>
        <v>286.01600000000002</v>
      </c>
    </row>
    <row r="12" spans="1:13">
      <c r="A12" t="s">
        <v>636</v>
      </c>
      <c r="B12">
        <v>1.2E-2</v>
      </c>
      <c r="C12" s="4">
        <f t="shared" si="0"/>
        <v>0.252</v>
      </c>
      <c r="D12" s="4">
        <f t="shared" si="1"/>
        <v>0.3</v>
      </c>
      <c r="E12">
        <v>0.6</v>
      </c>
      <c r="F12">
        <v>0.42</v>
      </c>
      <c r="G12" s="4">
        <f t="shared" si="2"/>
        <v>0.252</v>
      </c>
      <c r="H12">
        <v>0.02</v>
      </c>
      <c r="I12" s="6">
        <f t="shared" si="3"/>
        <v>7.92E-3</v>
      </c>
      <c r="J12" s="6">
        <f t="shared" si="4"/>
        <v>2.4552</v>
      </c>
      <c r="K12" s="6">
        <f t="shared" si="5"/>
        <v>2.36016</v>
      </c>
      <c r="L12" s="7">
        <f t="shared" si="6"/>
        <v>2.7072000000000003</v>
      </c>
      <c r="M12" s="7">
        <f t="shared" si="7"/>
        <v>2.6601599999999999</v>
      </c>
    </row>
    <row r="13" spans="1:13">
      <c r="A13" t="s">
        <v>640</v>
      </c>
      <c r="B13">
        <v>1.7999999999999999E-2</v>
      </c>
      <c r="C13" s="4">
        <f t="shared" si="0"/>
        <v>0.37799999999999995</v>
      </c>
      <c r="D13" s="4">
        <f t="shared" si="1"/>
        <v>0.44999999999999996</v>
      </c>
      <c r="E13">
        <v>0.6</v>
      </c>
      <c r="F13">
        <v>0.42</v>
      </c>
      <c r="G13" s="4">
        <f t="shared" si="2"/>
        <v>0.252</v>
      </c>
      <c r="H13">
        <v>0.02</v>
      </c>
      <c r="I13" s="6">
        <f t="shared" si="3"/>
        <v>7.92E-3</v>
      </c>
      <c r="J13" s="6">
        <f t="shared" si="4"/>
        <v>2.4552</v>
      </c>
      <c r="K13" s="6">
        <f t="shared" si="5"/>
        <v>2.36016</v>
      </c>
      <c r="L13" s="7">
        <f t="shared" si="6"/>
        <v>2.8332000000000002</v>
      </c>
      <c r="M13" s="7">
        <f t="shared" si="7"/>
        <v>2.8101599999999998</v>
      </c>
    </row>
    <row r="14" spans="1:13">
      <c r="A14" t="s">
        <v>641</v>
      </c>
      <c r="B14">
        <v>2.3E-2</v>
      </c>
      <c r="C14" s="4">
        <f t="shared" si="0"/>
        <v>0.48299999999999998</v>
      </c>
      <c r="D14" s="4">
        <f t="shared" si="1"/>
        <v>0.57499999999999996</v>
      </c>
      <c r="E14">
        <v>0.6</v>
      </c>
      <c r="F14">
        <v>0.42</v>
      </c>
      <c r="G14" s="4">
        <f t="shared" si="2"/>
        <v>0.252</v>
      </c>
      <c r="H14">
        <v>0.02</v>
      </c>
      <c r="I14" s="6">
        <f t="shared" si="3"/>
        <v>7.92E-3</v>
      </c>
      <c r="J14" s="6">
        <f t="shared" si="4"/>
        <v>2.4552</v>
      </c>
      <c r="K14" s="6">
        <f t="shared" si="5"/>
        <v>2.36016</v>
      </c>
      <c r="L14" s="7">
        <f t="shared" si="6"/>
        <v>2.9382000000000001</v>
      </c>
      <c r="M14" s="7">
        <f t="shared" si="7"/>
        <v>2.9351599999999998</v>
      </c>
    </row>
    <row r="15" spans="1:13">
      <c r="A15" t="s">
        <v>642</v>
      </c>
      <c r="B15">
        <v>0.1</v>
      </c>
      <c r="C15" s="4">
        <f t="shared" si="0"/>
        <v>2.1</v>
      </c>
      <c r="D15" s="4">
        <f t="shared" si="1"/>
        <v>2.5</v>
      </c>
      <c r="E15">
        <v>12</v>
      </c>
      <c r="F15">
        <v>1</v>
      </c>
      <c r="G15" s="4">
        <f t="shared" si="2"/>
        <v>12</v>
      </c>
      <c r="H15">
        <v>0.02</v>
      </c>
      <c r="I15" s="6">
        <f t="shared" si="3"/>
        <v>0.37714285714285711</v>
      </c>
      <c r="J15" s="6">
        <f t="shared" si="4"/>
        <v>116.91428571428571</v>
      </c>
      <c r="K15" s="6">
        <f t="shared" si="5"/>
        <v>112.38857142857142</v>
      </c>
      <c r="L15" s="7">
        <f t="shared" si="6"/>
        <v>119.01428571428571</v>
      </c>
      <c r="M15" s="7">
        <f t="shared" si="7"/>
        <v>114.88857142857142</v>
      </c>
    </row>
    <row r="16" spans="1:13">
      <c r="A16" t="s">
        <v>854</v>
      </c>
      <c r="B16">
        <v>0.16</v>
      </c>
      <c r="C16" s="4">
        <f t="shared" si="0"/>
        <v>3.36</v>
      </c>
      <c r="D16" s="4">
        <f t="shared" si="1"/>
        <v>4</v>
      </c>
      <c r="E16">
        <v>12</v>
      </c>
      <c r="F16">
        <v>1</v>
      </c>
      <c r="G16" s="4">
        <f t="shared" si="2"/>
        <v>12</v>
      </c>
      <c r="H16">
        <v>0.02</v>
      </c>
      <c r="I16" s="6">
        <f t="shared" si="3"/>
        <v>0.37714285714285711</v>
      </c>
      <c r="J16" s="6">
        <f t="shared" si="4"/>
        <v>116.91428571428571</v>
      </c>
      <c r="K16" s="6">
        <f t="shared" si="5"/>
        <v>112.38857142857142</v>
      </c>
      <c r="L16" s="7">
        <f t="shared" si="6"/>
        <v>120.27428571428571</v>
      </c>
      <c r="M16" s="7">
        <f t="shared" si="7"/>
        <v>116.38857142857142</v>
      </c>
    </row>
    <row r="17" spans="1:13">
      <c r="A17" t="s">
        <v>644</v>
      </c>
      <c r="B17">
        <v>0.21</v>
      </c>
      <c r="C17" s="4">
        <f t="shared" si="0"/>
        <v>4.41</v>
      </c>
      <c r="D17" s="4">
        <f t="shared" si="1"/>
        <v>5.25</v>
      </c>
      <c r="E17">
        <v>12</v>
      </c>
      <c r="F17">
        <v>1</v>
      </c>
      <c r="G17" s="4">
        <f t="shared" si="2"/>
        <v>12</v>
      </c>
      <c r="H17">
        <v>0.02</v>
      </c>
      <c r="I17" s="6">
        <f t="shared" si="3"/>
        <v>0.37714285714285711</v>
      </c>
      <c r="J17" s="6">
        <f t="shared" si="4"/>
        <v>116.91428571428571</v>
      </c>
      <c r="K17" s="6">
        <f t="shared" si="5"/>
        <v>112.38857142857142</v>
      </c>
      <c r="L17" s="7">
        <f t="shared" si="6"/>
        <v>121.32428571428571</v>
      </c>
      <c r="M17" s="7">
        <f t="shared" si="7"/>
        <v>117.63857142857142</v>
      </c>
    </row>
    <row r="18" spans="1:13">
      <c r="A18" t="s">
        <v>646</v>
      </c>
      <c r="B18">
        <v>0</v>
      </c>
      <c r="C18" s="4">
        <f t="shared" si="0"/>
        <v>0</v>
      </c>
      <c r="D18" s="4">
        <f t="shared" si="1"/>
        <v>0</v>
      </c>
      <c r="E18">
        <v>16</v>
      </c>
      <c r="F18">
        <v>0.51</v>
      </c>
      <c r="G18" s="4">
        <f t="shared" si="2"/>
        <v>8.16</v>
      </c>
      <c r="H18">
        <v>0.02</v>
      </c>
      <c r="I18" s="6">
        <f t="shared" si="3"/>
        <v>0.25645714285714288</v>
      </c>
      <c r="J18" s="6">
        <f t="shared" si="4"/>
        <v>79.5017142857143</v>
      </c>
      <c r="K18" s="6">
        <f t="shared" si="5"/>
        <v>76.424228571428586</v>
      </c>
      <c r="L18" s="7">
        <f t="shared" si="6"/>
        <v>79.5017142857143</v>
      </c>
      <c r="M18" s="7">
        <f t="shared" si="7"/>
        <v>76.424228571428586</v>
      </c>
    </row>
    <row r="19" spans="1:13">
      <c r="A19" t="s">
        <v>855</v>
      </c>
      <c r="B19">
        <v>1</v>
      </c>
      <c r="C19" s="4">
        <f t="shared" si="0"/>
        <v>21</v>
      </c>
      <c r="D19" s="4">
        <f t="shared" si="1"/>
        <v>25</v>
      </c>
      <c r="E19">
        <v>16</v>
      </c>
      <c r="F19">
        <v>0.51</v>
      </c>
      <c r="G19" s="4">
        <f t="shared" si="2"/>
        <v>8.16</v>
      </c>
      <c r="H19">
        <v>0.02</v>
      </c>
      <c r="I19" s="6">
        <f t="shared" si="3"/>
        <v>0.25645714285714288</v>
      </c>
      <c r="J19" s="6">
        <f t="shared" si="4"/>
        <v>79.5017142857143</v>
      </c>
      <c r="K19" s="6">
        <f t="shared" si="5"/>
        <v>76.424228571428586</v>
      </c>
      <c r="L19" s="7">
        <f t="shared" si="6"/>
        <v>100.5017142857143</v>
      </c>
      <c r="M19" s="7">
        <f t="shared" si="7"/>
        <v>101.42422857142859</v>
      </c>
    </row>
    <row r="20" spans="1:13">
      <c r="A20" t="s">
        <v>650</v>
      </c>
      <c r="B20">
        <v>2</v>
      </c>
      <c r="C20" s="4">
        <f t="shared" si="0"/>
        <v>42</v>
      </c>
      <c r="D20" s="4">
        <f t="shared" si="1"/>
        <v>50</v>
      </c>
      <c r="E20">
        <v>16</v>
      </c>
      <c r="F20">
        <v>0.51</v>
      </c>
      <c r="G20" s="4">
        <f t="shared" si="2"/>
        <v>8.16</v>
      </c>
      <c r="H20">
        <v>0.02</v>
      </c>
      <c r="I20" s="6">
        <f t="shared" si="3"/>
        <v>0.25645714285714288</v>
      </c>
      <c r="J20" s="6">
        <f t="shared" si="4"/>
        <v>79.5017142857143</v>
      </c>
      <c r="K20" s="6">
        <f t="shared" si="5"/>
        <v>76.424228571428586</v>
      </c>
      <c r="L20" s="7">
        <f t="shared" si="6"/>
        <v>121.5017142857143</v>
      </c>
      <c r="M20" s="7">
        <f t="shared" si="7"/>
        <v>126.42422857142859</v>
      </c>
    </row>
    <row r="21" spans="1:13">
      <c r="A21" t="s">
        <v>856</v>
      </c>
      <c r="B21">
        <v>0</v>
      </c>
      <c r="C21" s="4">
        <f t="shared" si="0"/>
        <v>0</v>
      </c>
      <c r="D21" s="4">
        <f t="shared" si="1"/>
        <v>0</v>
      </c>
      <c r="E21">
        <v>16</v>
      </c>
      <c r="F21">
        <v>0.4</v>
      </c>
      <c r="G21" s="4">
        <f t="shared" si="2"/>
        <v>6.4</v>
      </c>
      <c r="H21">
        <v>5.0000000000000001E-3</v>
      </c>
      <c r="I21" s="6">
        <f t="shared" si="3"/>
        <v>5.0285714285714281E-2</v>
      </c>
      <c r="J21" s="6">
        <f t="shared" si="4"/>
        <v>15.588571428571427</v>
      </c>
      <c r="K21" s="6">
        <f t="shared" si="5"/>
        <v>14.985142857142856</v>
      </c>
      <c r="L21" s="7">
        <f t="shared" si="6"/>
        <v>15.588571428571427</v>
      </c>
      <c r="M21" s="7">
        <f t="shared" si="7"/>
        <v>14.985142857142856</v>
      </c>
    </row>
    <row r="22" spans="1:13">
      <c r="A22" t="s">
        <v>857</v>
      </c>
      <c r="B22">
        <v>1</v>
      </c>
      <c r="C22" s="4">
        <f t="shared" si="0"/>
        <v>21</v>
      </c>
      <c r="D22" s="4">
        <f t="shared" si="1"/>
        <v>25</v>
      </c>
      <c r="E22">
        <v>16</v>
      </c>
      <c r="F22">
        <v>0.4</v>
      </c>
      <c r="G22" s="4">
        <f t="shared" si="2"/>
        <v>6.4</v>
      </c>
      <c r="H22">
        <v>5.0000000000000001E-3</v>
      </c>
      <c r="I22" s="6">
        <f t="shared" si="3"/>
        <v>5.0285714285714281E-2</v>
      </c>
      <c r="J22" s="6">
        <f t="shared" si="4"/>
        <v>15.588571428571427</v>
      </c>
      <c r="K22" s="6">
        <f t="shared" si="5"/>
        <v>14.985142857142856</v>
      </c>
      <c r="L22" s="7">
        <f t="shared" si="6"/>
        <v>36.588571428571427</v>
      </c>
      <c r="M22" s="7">
        <f t="shared" si="7"/>
        <v>39.985142857142854</v>
      </c>
    </row>
    <row r="23" spans="1:13">
      <c r="A23" t="s">
        <v>858</v>
      </c>
      <c r="B23">
        <v>2</v>
      </c>
      <c r="C23" s="4">
        <f t="shared" si="0"/>
        <v>42</v>
      </c>
      <c r="D23" s="4">
        <f t="shared" si="1"/>
        <v>50</v>
      </c>
      <c r="E23">
        <v>16</v>
      </c>
      <c r="F23">
        <v>0.4</v>
      </c>
      <c r="G23" s="4">
        <f t="shared" si="2"/>
        <v>6.4</v>
      </c>
      <c r="H23">
        <v>5.0000000000000001E-3</v>
      </c>
      <c r="I23" s="6">
        <f t="shared" si="3"/>
        <v>5.0285714285714281E-2</v>
      </c>
      <c r="J23" s="6">
        <f t="shared" si="4"/>
        <v>15.588571428571427</v>
      </c>
      <c r="K23" s="6">
        <f t="shared" si="5"/>
        <v>14.985142857142856</v>
      </c>
      <c r="L23" s="7">
        <f t="shared" si="6"/>
        <v>57.588571428571427</v>
      </c>
      <c r="M23" s="7">
        <f t="shared" si="7"/>
        <v>64.985142857142861</v>
      </c>
    </row>
    <row r="24" spans="1:13">
      <c r="A24" t="s">
        <v>657</v>
      </c>
      <c r="B24">
        <v>1</v>
      </c>
      <c r="C24" s="4">
        <f t="shared" si="0"/>
        <v>21</v>
      </c>
      <c r="D24" s="4">
        <f t="shared" si="1"/>
        <v>25</v>
      </c>
      <c r="E24">
        <v>40</v>
      </c>
      <c r="F24">
        <v>0.99</v>
      </c>
      <c r="G24" s="4">
        <f t="shared" si="2"/>
        <v>39.6</v>
      </c>
      <c r="H24">
        <v>0.02</v>
      </c>
      <c r="I24" s="6">
        <f t="shared" si="3"/>
        <v>1.2445714285714284</v>
      </c>
      <c r="J24" s="6">
        <f t="shared" si="4"/>
        <v>385.81714285714281</v>
      </c>
      <c r="K24" s="6">
        <f t="shared" si="5"/>
        <v>370.88228571428567</v>
      </c>
      <c r="L24" s="7">
        <f t="shared" si="6"/>
        <v>406.81714285714281</v>
      </c>
      <c r="M24" s="7">
        <f t="shared" si="7"/>
        <v>395.88228571428567</v>
      </c>
    </row>
    <row r="25" spans="1:13">
      <c r="A25" t="s">
        <v>658</v>
      </c>
      <c r="B25">
        <v>1</v>
      </c>
      <c r="C25" s="4">
        <f t="shared" si="0"/>
        <v>21</v>
      </c>
      <c r="D25" s="4">
        <f t="shared" si="1"/>
        <v>25</v>
      </c>
      <c r="E25">
        <v>40</v>
      </c>
      <c r="F25">
        <v>0.99</v>
      </c>
      <c r="G25" s="4">
        <f t="shared" si="2"/>
        <v>39.6</v>
      </c>
      <c r="H25">
        <v>0.02</v>
      </c>
      <c r="I25" s="6">
        <f t="shared" si="3"/>
        <v>1.2445714285714284</v>
      </c>
      <c r="J25" s="6">
        <f t="shared" si="4"/>
        <v>385.81714285714281</v>
      </c>
      <c r="K25" s="6">
        <f t="shared" si="5"/>
        <v>370.88228571428567</v>
      </c>
      <c r="L25" s="7">
        <f t="shared" si="6"/>
        <v>406.81714285714281</v>
      </c>
      <c r="M25" s="7">
        <f t="shared" si="7"/>
        <v>395.88228571428567</v>
      </c>
    </row>
    <row r="26" spans="1:13">
      <c r="A26" t="s">
        <v>659</v>
      </c>
      <c r="B26">
        <v>2</v>
      </c>
      <c r="C26" s="4">
        <f t="shared" si="0"/>
        <v>42</v>
      </c>
      <c r="D26" s="4">
        <f t="shared" si="1"/>
        <v>50</v>
      </c>
      <c r="E26">
        <v>40</v>
      </c>
      <c r="F26">
        <v>0.99</v>
      </c>
      <c r="G26" s="4">
        <f t="shared" si="2"/>
        <v>39.6</v>
      </c>
      <c r="H26">
        <v>0.02</v>
      </c>
      <c r="I26" s="6">
        <f t="shared" si="3"/>
        <v>1.2445714285714284</v>
      </c>
      <c r="J26" s="6">
        <f t="shared" si="4"/>
        <v>385.81714285714281</v>
      </c>
      <c r="K26" s="6">
        <f t="shared" si="5"/>
        <v>370.88228571428567</v>
      </c>
      <c r="L26" s="7">
        <f t="shared" si="6"/>
        <v>427.81714285714281</v>
      </c>
      <c r="M26" s="7">
        <f t="shared" si="7"/>
        <v>420.88228571428567</v>
      </c>
    </row>
    <row r="27" spans="1:13">
      <c r="A27" t="s">
        <v>660</v>
      </c>
      <c r="B27">
        <v>0.11</v>
      </c>
      <c r="C27" s="4">
        <f t="shared" si="0"/>
        <v>2.31</v>
      </c>
      <c r="D27" s="4">
        <f t="shared" si="1"/>
        <v>2.75</v>
      </c>
      <c r="E27">
        <v>40</v>
      </c>
      <c r="F27">
        <v>0.99</v>
      </c>
      <c r="G27" s="4">
        <f t="shared" si="2"/>
        <v>39.6</v>
      </c>
      <c r="H27">
        <v>0.02</v>
      </c>
      <c r="I27" s="6">
        <f t="shared" si="3"/>
        <v>1.2445714285714284</v>
      </c>
      <c r="J27" s="6">
        <f t="shared" si="4"/>
        <v>385.81714285714281</v>
      </c>
      <c r="K27" s="6">
        <f t="shared" si="5"/>
        <v>370.88228571428567</v>
      </c>
      <c r="L27" s="7">
        <f t="shared" si="6"/>
        <v>388.12714285714281</v>
      </c>
      <c r="M27" s="7">
        <f t="shared" si="7"/>
        <v>373.63228571428567</v>
      </c>
    </row>
    <row r="28" spans="1:13">
      <c r="A28" t="s">
        <v>661</v>
      </c>
      <c r="B28">
        <v>0.17</v>
      </c>
      <c r="C28" s="4">
        <f t="shared" si="0"/>
        <v>3.5700000000000003</v>
      </c>
      <c r="D28" s="4">
        <f t="shared" si="1"/>
        <v>4.25</v>
      </c>
      <c r="E28">
        <v>40</v>
      </c>
      <c r="F28">
        <v>0.99</v>
      </c>
      <c r="G28" s="4">
        <f t="shared" si="2"/>
        <v>39.6</v>
      </c>
      <c r="H28">
        <v>0.02</v>
      </c>
      <c r="I28" s="6">
        <f t="shared" si="3"/>
        <v>1.2445714285714284</v>
      </c>
      <c r="J28" s="6">
        <f t="shared" si="4"/>
        <v>385.81714285714281</v>
      </c>
      <c r="K28" s="6">
        <f t="shared" si="5"/>
        <v>370.88228571428567</v>
      </c>
      <c r="L28" s="7">
        <f t="shared" si="6"/>
        <v>389.38714285714281</v>
      </c>
      <c r="M28" s="7">
        <f t="shared" si="7"/>
        <v>375.13228571428567</v>
      </c>
    </row>
    <row r="29" spans="1:13">
      <c r="A29" t="s">
        <v>662</v>
      </c>
      <c r="B29">
        <v>0.22</v>
      </c>
      <c r="C29" s="4">
        <f t="shared" si="0"/>
        <v>4.62</v>
      </c>
      <c r="D29" s="4">
        <f t="shared" si="1"/>
        <v>5.5</v>
      </c>
      <c r="E29">
        <v>40</v>
      </c>
      <c r="F29">
        <v>0.99</v>
      </c>
      <c r="G29" s="4">
        <f t="shared" si="2"/>
        <v>39.6</v>
      </c>
      <c r="H29">
        <v>0.02</v>
      </c>
      <c r="I29" s="6">
        <f t="shared" si="3"/>
        <v>1.2445714285714284</v>
      </c>
      <c r="J29" s="6">
        <f t="shared" si="4"/>
        <v>385.81714285714281</v>
      </c>
      <c r="K29" s="6">
        <f t="shared" si="5"/>
        <v>370.88228571428567</v>
      </c>
      <c r="L29" s="7">
        <f t="shared" si="6"/>
        <v>390.43714285714282</v>
      </c>
      <c r="M29" s="7">
        <f t="shared" si="7"/>
        <v>376.38228571428567</v>
      </c>
    </row>
    <row r="30" spans="1:13">
      <c r="A30" t="s">
        <v>663</v>
      </c>
      <c r="B30">
        <v>1.0900000000000001</v>
      </c>
      <c r="C30" s="4">
        <f t="shared" si="0"/>
        <v>22.89</v>
      </c>
      <c r="D30" s="4">
        <f t="shared" si="1"/>
        <v>27.250000000000004</v>
      </c>
      <c r="E30">
        <v>40</v>
      </c>
      <c r="F30">
        <v>0.99</v>
      </c>
      <c r="G30" s="4">
        <f t="shared" si="2"/>
        <v>39.6</v>
      </c>
      <c r="H30">
        <v>0.02</v>
      </c>
      <c r="I30" s="6">
        <f t="shared" si="3"/>
        <v>1.2445714285714284</v>
      </c>
      <c r="J30" s="6">
        <f t="shared" si="4"/>
        <v>385.81714285714281</v>
      </c>
      <c r="K30" s="6">
        <f t="shared" si="5"/>
        <v>370.88228571428567</v>
      </c>
      <c r="L30" s="7">
        <f t="shared" si="6"/>
        <v>408.7071428571428</v>
      </c>
      <c r="M30" s="7">
        <f t="shared" si="7"/>
        <v>398.13228571428567</v>
      </c>
    </row>
    <row r="31" spans="1:13">
      <c r="A31" t="s">
        <v>664</v>
      </c>
      <c r="B31">
        <v>1.64</v>
      </c>
      <c r="C31" s="4">
        <f t="shared" si="0"/>
        <v>34.44</v>
      </c>
      <c r="D31" s="4">
        <f t="shared" si="1"/>
        <v>41</v>
      </c>
      <c r="E31">
        <v>40</v>
      </c>
      <c r="F31">
        <v>0.99</v>
      </c>
      <c r="G31" s="4">
        <f t="shared" si="2"/>
        <v>39.6</v>
      </c>
      <c r="H31">
        <v>0.02</v>
      </c>
      <c r="I31" s="6">
        <f t="shared" si="3"/>
        <v>1.2445714285714284</v>
      </c>
      <c r="J31" s="6">
        <f t="shared" si="4"/>
        <v>385.81714285714281</v>
      </c>
      <c r="K31" s="6">
        <f t="shared" si="5"/>
        <v>370.88228571428567</v>
      </c>
      <c r="L31" s="7">
        <f t="shared" si="6"/>
        <v>420.25714285714281</v>
      </c>
      <c r="M31" s="7">
        <f t="shared" si="7"/>
        <v>411.88228571428567</v>
      </c>
    </row>
    <row r="32" spans="1:13">
      <c r="A32" t="s">
        <v>665</v>
      </c>
      <c r="B32">
        <v>2.1800000000000002</v>
      </c>
      <c r="C32" s="4">
        <f t="shared" si="0"/>
        <v>45.78</v>
      </c>
      <c r="D32" s="4">
        <f t="shared" si="1"/>
        <v>54.500000000000007</v>
      </c>
      <c r="E32">
        <v>40</v>
      </c>
      <c r="F32">
        <v>0.99</v>
      </c>
      <c r="G32" s="4">
        <f t="shared" si="2"/>
        <v>39.6</v>
      </c>
      <c r="H32">
        <v>0.02</v>
      </c>
      <c r="I32" s="6">
        <f t="shared" si="3"/>
        <v>1.2445714285714284</v>
      </c>
      <c r="J32" s="6">
        <f t="shared" si="4"/>
        <v>385.81714285714281</v>
      </c>
      <c r="K32" s="6">
        <f t="shared" si="5"/>
        <v>370.88228571428567</v>
      </c>
      <c r="L32" s="7">
        <f t="shared" si="6"/>
        <v>431.59714285714279</v>
      </c>
      <c r="M32" s="7">
        <f t="shared" si="7"/>
        <v>425.38228571428567</v>
      </c>
    </row>
    <row r="33" spans="1:13">
      <c r="A33" t="s">
        <v>666</v>
      </c>
      <c r="B33">
        <v>0.6</v>
      </c>
      <c r="C33" s="4">
        <f t="shared" si="0"/>
        <v>12.6</v>
      </c>
      <c r="D33" s="4">
        <f t="shared" si="1"/>
        <v>15</v>
      </c>
      <c r="E33">
        <v>40</v>
      </c>
      <c r="F33">
        <v>0.99</v>
      </c>
      <c r="G33" s="4">
        <f t="shared" si="2"/>
        <v>39.6</v>
      </c>
      <c r="H33">
        <v>0.02</v>
      </c>
      <c r="I33" s="6">
        <f t="shared" si="3"/>
        <v>1.2445714285714284</v>
      </c>
      <c r="J33" s="6">
        <f t="shared" si="4"/>
        <v>385.81714285714281</v>
      </c>
      <c r="K33" s="6">
        <f t="shared" si="5"/>
        <v>370.88228571428567</v>
      </c>
      <c r="L33" s="7">
        <f t="shared" si="6"/>
        <v>398.41714285714284</v>
      </c>
      <c r="M33" s="7">
        <f t="shared" si="7"/>
        <v>385.88228571428567</v>
      </c>
    </row>
    <row r="34" spans="1:13">
      <c r="A34" t="s">
        <v>667</v>
      </c>
      <c r="B34">
        <v>0.9</v>
      </c>
      <c r="C34" s="4">
        <f t="shared" si="0"/>
        <v>18.900000000000002</v>
      </c>
      <c r="D34" s="4">
        <f t="shared" si="1"/>
        <v>22.5</v>
      </c>
      <c r="E34">
        <v>40</v>
      </c>
      <c r="F34">
        <v>0.99</v>
      </c>
      <c r="G34" s="4">
        <f t="shared" si="2"/>
        <v>39.6</v>
      </c>
      <c r="H34">
        <v>0.02</v>
      </c>
      <c r="I34" s="6">
        <f t="shared" si="3"/>
        <v>1.2445714285714284</v>
      </c>
      <c r="J34" s="6">
        <f t="shared" si="4"/>
        <v>385.81714285714281</v>
      </c>
      <c r="K34" s="6">
        <f t="shared" si="5"/>
        <v>370.88228571428567</v>
      </c>
      <c r="L34" s="7">
        <f t="shared" si="6"/>
        <v>404.71714285714279</v>
      </c>
      <c r="M34" s="7">
        <f t="shared" si="7"/>
        <v>393.38228571428567</v>
      </c>
    </row>
    <row r="35" spans="1:13">
      <c r="A35" t="s">
        <v>668</v>
      </c>
      <c r="B35">
        <v>1.19</v>
      </c>
      <c r="C35" s="4">
        <f t="shared" si="0"/>
        <v>24.99</v>
      </c>
      <c r="D35" s="4">
        <f t="shared" si="1"/>
        <v>29.75</v>
      </c>
      <c r="E35">
        <v>40</v>
      </c>
      <c r="F35">
        <v>0.99</v>
      </c>
      <c r="G35" s="4">
        <f t="shared" si="2"/>
        <v>39.6</v>
      </c>
      <c r="H35">
        <v>0.02</v>
      </c>
      <c r="I35" s="6">
        <f t="shared" si="3"/>
        <v>1.2445714285714284</v>
      </c>
      <c r="J35" s="6">
        <f t="shared" si="4"/>
        <v>385.81714285714281</v>
      </c>
      <c r="K35" s="6">
        <f t="shared" si="5"/>
        <v>370.88228571428567</v>
      </c>
      <c r="L35" s="7">
        <f t="shared" si="6"/>
        <v>410.80714285714282</v>
      </c>
      <c r="M35" s="7">
        <f t="shared" si="7"/>
        <v>400.63228571428567</v>
      </c>
    </row>
  </sheetData>
  <mergeCells count="11">
    <mergeCell ref="B1:D1"/>
    <mergeCell ref="E1:K1"/>
    <mergeCell ref="C3:D3"/>
    <mergeCell ref="J3:K3"/>
    <mergeCell ref="L3:M3"/>
    <mergeCell ref="B3:B4"/>
    <mergeCell ref="E3:E4"/>
    <mergeCell ref="F3:F4"/>
    <mergeCell ref="G3:G4"/>
    <mergeCell ref="H3:H4"/>
    <mergeCell ref="I3:I4"/>
  </mergeCell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2938E3FAC2B884A82855097EAC4703A" ma:contentTypeVersion="14" ma:contentTypeDescription="Crear nuevo documento." ma:contentTypeScope="" ma:versionID="5473c1ddacf60063bcfd39933f3529ca">
  <xsd:schema xmlns:xsd="http://www.w3.org/2001/XMLSchema" xmlns:xs="http://www.w3.org/2001/XMLSchema" xmlns:p="http://schemas.microsoft.com/office/2006/metadata/properties" xmlns:ns2="40b93596-6855-47ab-b598-0d04077ce17a" xmlns:ns3="7c0f64b1-033a-4577-86fa-591080de61f2" targetNamespace="http://schemas.microsoft.com/office/2006/metadata/properties" ma:root="true" ma:fieldsID="13a48a4609893ca789e3731509376c34" ns2:_="" ns3:_="">
    <xsd:import namespace="40b93596-6855-47ab-b598-0d04077ce17a"/>
    <xsd:import namespace="7c0f64b1-033a-4577-86fa-591080de61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b93596-6855-47ab-b598-0d04077ce1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317cfaee-bc2f-49dd-a9d0-08dc1a2070f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0f64b1-033a-4577-86fa-591080de61f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2cc5283-b3f2-46da-90b5-ea6c0e183eff}" ma:internalName="TaxCatchAll" ma:showField="CatchAllData" ma:web="7c0f64b1-033a-4577-86fa-591080de61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0b93596-6855-47ab-b598-0d04077ce17a">
      <Terms xmlns="http://schemas.microsoft.com/office/infopath/2007/PartnerControls"/>
    </lcf76f155ced4ddcb4097134ff3c332f>
    <TaxCatchAll xmlns="7c0f64b1-033a-4577-86fa-591080de61f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7ACBE5-4B1F-485A-B3C3-FD28C4CA9E81}"/>
</file>

<file path=customXml/itemProps2.xml><?xml version="1.0" encoding="utf-8"?>
<ds:datastoreItem xmlns:ds="http://schemas.openxmlformats.org/officeDocument/2006/customXml" ds:itemID="{C00E5BD6-70BF-4E06-9A0F-3E36A7978A17}"/>
</file>

<file path=customXml/itemProps3.xml><?xml version="1.0" encoding="utf-8"?>
<ds:datastoreItem xmlns:ds="http://schemas.openxmlformats.org/officeDocument/2006/customXml" ds:itemID="{4AF61FAD-CDE8-4E62-996E-ED1C5B0597D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Daniela Cecilia Villalba</dc:creator>
  <cp:keywords/>
  <dc:description/>
  <cp:lastModifiedBy/>
  <cp:revision/>
  <dcterms:created xsi:type="dcterms:W3CDTF">2014-09-25T16:24:00Z</dcterms:created>
  <dcterms:modified xsi:type="dcterms:W3CDTF">2026-06-15T14:01:25Z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3082-11.1.0.10161</vt:lpwstr>
  </property>
  <property fmtid="{D5CDD505-2E9C-101B-9397-08002B2CF9AE}" pid="3" name="ContentTypeId">
    <vt:lpwstr>0x010100A2938E3FAC2B884A82855097EAC4703A</vt:lpwstr>
  </property>
  <property fmtid="{D5CDD505-2E9C-101B-9397-08002B2CF9AE}" pid="4" name="MediaServiceImageTags">
    <vt:lpwstr/>
  </property>
</Properties>
</file>