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cclement\Downloads\"/>
    </mc:Choice>
  </mc:AlternateContent>
  <xr:revisionPtr revIDLastSave="0" documentId="13_ncr:1_{D82AE08D-056F-4588-BBC6-B2FFB4FB5A9A}" xr6:coauthVersionLast="36" xr6:coauthVersionMax="47" xr10:uidLastSave="{00000000-0000-0000-0000-000000000000}"/>
  <bookViews>
    <workbookView xWindow="28680" yWindow="-120" windowWidth="29040" windowHeight="15720" xr2:uid="{7E05BBC4-47FE-4110-A075-97F5BE6048BF}"/>
  </bookViews>
  <sheets>
    <sheet name="EMISIONES" sheetId="4" r:id="rId1"/>
    <sheet name="OTROS DATOS" sheetId="11" r:id="rId2"/>
    <sheet name="RESUMEN RESULTADOS " sheetId="7" r:id="rId3"/>
    <sheet name="Hoja1" sheetId="12" r:id="rId4"/>
    <sheet name="Otros factores" sheetId="6" state="hidden" r:id="rId5"/>
  </sheets>
  <definedNames>
    <definedName name="_xlnm.Print_Area" localSheetId="0">EMISIONES!$A$1:$CB$101</definedName>
    <definedName name="_xlnm.Print_Area" localSheetId="2">'RESUMEN RESULTADOS '!$A$1:$J$78</definedName>
    <definedName name="CATEGORIA" localSheetId="2">#REF!</definedName>
    <definedName name="Otras">EMISIONES!$EC$118</definedName>
    <definedName name="Pastizales">EMISIONES!$EC$121</definedName>
    <definedName name="Tierras_de_Cultivo" localSheetId="0">EMISIONES!$EC$119:$EC$120</definedName>
    <definedName name="Tierras_Forestales" localSheetId="0">EMISIONES!$EC$112:$EC$117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80" i="4" l="1"/>
  <c r="O80" i="4"/>
  <c r="N80" i="4"/>
  <c r="EG126" i="4"/>
  <c r="N81" i="4" s="1"/>
  <c r="G10" i="12"/>
  <c r="C10" i="12"/>
  <c r="G9" i="12"/>
  <c r="C9" i="12"/>
  <c r="G8" i="12"/>
  <c r="C8" i="12"/>
  <c r="G7" i="12"/>
  <c r="C7" i="12"/>
  <c r="G6" i="12"/>
  <c r="C6" i="12"/>
  <c r="DK391" i="4"/>
  <c r="M82" i="4"/>
  <c r="S20" i="4"/>
  <c r="AB20" i="4" s="1"/>
  <c r="T20" i="4"/>
  <c r="U20" i="4" s="1"/>
  <c r="BI20" i="4"/>
  <c r="BJ20" i="4" s="1"/>
  <c r="BV20" i="4"/>
  <c r="BX72" i="4"/>
  <c r="BZ71" i="4"/>
  <c r="BK71" i="4"/>
  <c r="BD71" i="4"/>
  <c r="T71" i="4"/>
  <c r="S71" i="4"/>
  <c r="BZ70" i="4"/>
  <c r="BK70" i="4"/>
  <c r="BD70" i="4"/>
  <c r="T70" i="4"/>
  <c r="W70" i="4" s="1"/>
  <c r="S70" i="4"/>
  <c r="AR70" i="4" s="1"/>
  <c r="BZ69" i="4"/>
  <c r="BK69" i="4"/>
  <c r="BD69" i="4"/>
  <c r="T69" i="4"/>
  <c r="W69" i="4" s="1"/>
  <c r="S69" i="4"/>
  <c r="AS69" i="4" s="1"/>
  <c r="BZ68" i="4"/>
  <c r="BK68" i="4"/>
  <c r="BD68" i="4"/>
  <c r="T68" i="4"/>
  <c r="W68" i="4" s="1"/>
  <c r="S68" i="4"/>
  <c r="BZ67" i="4"/>
  <c r="T67" i="4"/>
  <c r="V67" i="4" s="1"/>
  <c r="S67" i="4"/>
  <c r="BN67" i="4" s="1"/>
  <c r="BZ66" i="4"/>
  <c r="T66" i="4"/>
  <c r="W66" i="4" s="1"/>
  <c r="S66" i="4"/>
  <c r="AB66" i="4" s="1"/>
  <c r="BZ65" i="4"/>
  <c r="BJ65" i="4"/>
  <c r="BK65" i="4" s="1"/>
  <c r="BC65" i="4"/>
  <c r="BD65" i="4" s="1"/>
  <c r="T65" i="4"/>
  <c r="U65" i="4" s="1"/>
  <c r="S65" i="4"/>
  <c r="BP65" i="4" s="1"/>
  <c r="BX64" i="4"/>
  <c r="O81" i="4" l="1"/>
  <c r="Q81" i="4"/>
  <c r="BW20" i="4"/>
  <c r="BP20" i="4"/>
  <c r="BQ20" i="4" s="1"/>
  <c r="BB20" i="4"/>
  <c r="BC20" i="4" s="1"/>
  <c r="BD20" i="4" s="1"/>
  <c r="AS20" i="4"/>
  <c r="AR20" i="4"/>
  <c r="AK20" i="4"/>
  <c r="AJ20" i="4"/>
  <c r="AC20" i="4"/>
  <c r="W20" i="4"/>
  <c r="BK20" i="4"/>
  <c r="V20" i="4"/>
  <c r="BP66" i="4"/>
  <c r="BR66" i="4" s="1"/>
  <c r="U70" i="4"/>
  <c r="AT67" i="4"/>
  <c r="AV67" i="4" s="1"/>
  <c r="AK65" i="4"/>
  <c r="W67" i="4"/>
  <c r="AL67" i="4"/>
  <c r="AN67" i="4" s="1"/>
  <c r="AJ65" i="4"/>
  <c r="V70" i="4"/>
  <c r="V66" i="4"/>
  <c r="AC66" i="4"/>
  <c r="AT65" i="4"/>
  <c r="AV65" i="4" s="1"/>
  <c r="AL66" i="4"/>
  <c r="AN66" i="4" s="1"/>
  <c r="U69" i="4"/>
  <c r="V69" i="4"/>
  <c r="AT66" i="4"/>
  <c r="AR69" i="4"/>
  <c r="BB67" i="4"/>
  <c r="BC67" i="4" s="1"/>
  <c r="BD67" i="4" s="1"/>
  <c r="AS70" i="4"/>
  <c r="BI67" i="4"/>
  <c r="BJ67" i="4" s="1"/>
  <c r="BK67" i="4" s="1"/>
  <c r="BB66" i="4"/>
  <c r="BI66" i="4"/>
  <c r="U68" i="4"/>
  <c r="V68" i="4"/>
  <c r="AD70" i="4"/>
  <c r="AF70" i="4" s="1"/>
  <c r="BY72" i="4"/>
  <c r="BZ72" i="4"/>
  <c r="BQ65" i="4"/>
  <c r="BR65" i="4"/>
  <c r="AD67" i="4"/>
  <c r="AJ69" i="4"/>
  <c r="BP69" i="4"/>
  <c r="U71" i="4"/>
  <c r="AT71" i="4"/>
  <c r="AK69" i="4"/>
  <c r="V71" i="4"/>
  <c r="W71" i="4"/>
  <c r="AR68" i="4"/>
  <c r="AS68" i="4"/>
  <c r="AD71" i="4"/>
  <c r="V65" i="4"/>
  <c r="BO67" i="4"/>
  <c r="AD68" i="4"/>
  <c r="AJ70" i="4"/>
  <c r="BP70" i="4"/>
  <c r="W65" i="4"/>
  <c r="AK70" i="4"/>
  <c r="BP71" i="4"/>
  <c r="U66" i="4"/>
  <c r="AD65" i="4"/>
  <c r="AD69" i="4"/>
  <c r="AJ71" i="4"/>
  <c r="AJ68" i="4"/>
  <c r="BP68" i="4"/>
  <c r="AK71" i="4"/>
  <c r="U67" i="4"/>
  <c r="AK68" i="4"/>
  <c r="BY64" i="4"/>
  <c r="BZ64" i="4" s="1"/>
  <c r="BR20" i="4" l="1"/>
  <c r="BS20" i="4"/>
  <c r="BB72" i="4"/>
  <c r="AU65" i="4"/>
  <c r="AW65" i="4" s="1"/>
  <c r="BQ66" i="4"/>
  <c r="BI72" i="4"/>
  <c r="AM67" i="4"/>
  <c r="AO67" i="4" s="1"/>
  <c r="AU67" i="4"/>
  <c r="AW67" i="4" s="1"/>
  <c r="BS66" i="4"/>
  <c r="AE70" i="4"/>
  <c r="AG70" i="4" s="1"/>
  <c r="BJ66" i="4"/>
  <c r="BK66" i="4" s="1"/>
  <c r="AM66" i="4"/>
  <c r="AO66" i="4" s="1"/>
  <c r="BS65" i="4"/>
  <c r="BJ72" i="4"/>
  <c r="BK72" i="4" s="1"/>
  <c r="BC72" i="4"/>
  <c r="BD72" i="4" s="1"/>
  <c r="BC66" i="4"/>
  <c r="BD66" i="4" s="1"/>
  <c r="AV66" i="4"/>
  <c r="AU66" i="4"/>
  <c r="AF69" i="4"/>
  <c r="AE69" i="4"/>
  <c r="AF65" i="4"/>
  <c r="AE65" i="4"/>
  <c r="BR71" i="4"/>
  <c r="BQ71" i="4"/>
  <c r="BR70" i="4"/>
  <c r="BQ70" i="4"/>
  <c r="AV71" i="4"/>
  <c r="AU71" i="4"/>
  <c r="AF71" i="4"/>
  <c r="AE71" i="4"/>
  <c r="AF68" i="4"/>
  <c r="AE68" i="4"/>
  <c r="BR69" i="4"/>
  <c r="BQ69" i="4"/>
  <c r="BR68" i="4"/>
  <c r="BQ68" i="4"/>
  <c r="AF67" i="4"/>
  <c r="AE67" i="4"/>
  <c r="AW66" i="4" l="1"/>
  <c r="BS69" i="4"/>
  <c r="BS71" i="4"/>
  <c r="BS70" i="4"/>
  <c r="BS68" i="4"/>
  <c r="AG68" i="4"/>
  <c r="AG65" i="4"/>
  <c r="AG71" i="4"/>
  <c r="AW71" i="4"/>
  <c r="AG69" i="4"/>
  <c r="AG67" i="4"/>
  <c r="U310" i="4" l="1"/>
  <c r="V310" i="4"/>
  <c r="W310" i="4"/>
  <c r="X310" i="4"/>
  <c r="Y310" i="4"/>
  <c r="Z310" i="4"/>
  <c r="AA310" i="4"/>
  <c r="AB310" i="4"/>
  <c r="AC310" i="4"/>
  <c r="AD310" i="4"/>
  <c r="AE310" i="4"/>
  <c r="AF310" i="4"/>
  <c r="AG310" i="4"/>
  <c r="AH310" i="4"/>
  <c r="AJ310" i="4"/>
  <c r="AK310" i="4"/>
  <c r="AU310" i="4"/>
  <c r="AV310" i="4"/>
  <c r="AX310" i="4"/>
  <c r="AY310" i="4"/>
  <c r="AZ310" i="4"/>
  <c r="BA310" i="4"/>
  <c r="BB310" i="4"/>
  <c r="BC310" i="4"/>
  <c r="BE310" i="4"/>
  <c r="BF310" i="4"/>
  <c r="BG310" i="4"/>
  <c r="BH310" i="4"/>
  <c r="BI310" i="4"/>
  <c r="BJ310" i="4"/>
  <c r="U311" i="4"/>
  <c r="V311" i="4"/>
  <c r="W311" i="4"/>
  <c r="X311" i="4"/>
  <c r="Y311" i="4"/>
  <c r="Z311" i="4"/>
  <c r="AA311" i="4"/>
  <c r="AB311" i="4"/>
  <c r="AC311" i="4"/>
  <c r="AD311" i="4"/>
  <c r="AE311" i="4"/>
  <c r="AF311" i="4"/>
  <c r="AG311" i="4"/>
  <c r="AH311" i="4"/>
  <c r="AJ311" i="4"/>
  <c r="AK311" i="4"/>
  <c r="AU311" i="4"/>
  <c r="AV311" i="4"/>
  <c r="AX311" i="4"/>
  <c r="AY311" i="4"/>
  <c r="AZ311" i="4"/>
  <c r="BA311" i="4"/>
  <c r="BB311" i="4"/>
  <c r="BC311" i="4"/>
  <c r="BE311" i="4"/>
  <c r="BF311" i="4"/>
  <c r="BG311" i="4"/>
  <c r="BH311" i="4"/>
  <c r="BI311" i="4"/>
  <c r="BJ311" i="4"/>
  <c r="U312" i="4"/>
  <c r="V312" i="4"/>
  <c r="W312" i="4"/>
  <c r="X312" i="4"/>
  <c r="Y312" i="4"/>
  <c r="Z312" i="4"/>
  <c r="AA312" i="4"/>
  <c r="AB312" i="4"/>
  <c r="AC312" i="4"/>
  <c r="AD312" i="4"/>
  <c r="AE312" i="4"/>
  <c r="AF312" i="4"/>
  <c r="AG312" i="4"/>
  <c r="AH312" i="4"/>
  <c r="AJ312" i="4"/>
  <c r="AK312" i="4"/>
  <c r="AU312" i="4"/>
  <c r="AV312" i="4"/>
  <c r="AX312" i="4"/>
  <c r="AY312" i="4"/>
  <c r="AZ312" i="4"/>
  <c r="BA312" i="4"/>
  <c r="BB312" i="4"/>
  <c r="BC312" i="4"/>
  <c r="BE312" i="4"/>
  <c r="BF312" i="4"/>
  <c r="BG312" i="4"/>
  <c r="BH312" i="4"/>
  <c r="BI312" i="4"/>
  <c r="BJ312" i="4"/>
  <c r="BQ312" i="4"/>
  <c r="U313" i="4"/>
  <c r="V313" i="4"/>
  <c r="W313" i="4"/>
  <c r="X313" i="4"/>
  <c r="Y313" i="4"/>
  <c r="Z313" i="4"/>
  <c r="AA313" i="4"/>
  <c r="AB313" i="4"/>
  <c r="AC313" i="4"/>
  <c r="AD313" i="4"/>
  <c r="AE313" i="4"/>
  <c r="AF313" i="4"/>
  <c r="AG313" i="4"/>
  <c r="AH313" i="4"/>
  <c r="AJ313" i="4"/>
  <c r="AK313" i="4"/>
  <c r="AU313" i="4"/>
  <c r="AV313" i="4"/>
  <c r="AX313" i="4"/>
  <c r="AY313" i="4"/>
  <c r="AZ313" i="4"/>
  <c r="BA313" i="4"/>
  <c r="BB313" i="4"/>
  <c r="BC313" i="4"/>
  <c r="BE313" i="4"/>
  <c r="BF313" i="4"/>
  <c r="BG313" i="4"/>
  <c r="BH313" i="4"/>
  <c r="BI313" i="4"/>
  <c r="BJ313" i="4"/>
  <c r="U314" i="4"/>
  <c r="V314" i="4"/>
  <c r="W314" i="4"/>
  <c r="X314" i="4"/>
  <c r="Y314" i="4"/>
  <c r="Z314" i="4"/>
  <c r="AA314" i="4"/>
  <c r="AB314" i="4"/>
  <c r="AC314" i="4"/>
  <c r="AD314" i="4"/>
  <c r="AE314" i="4"/>
  <c r="AF314" i="4"/>
  <c r="AG314" i="4"/>
  <c r="AH314" i="4"/>
  <c r="AJ314" i="4"/>
  <c r="AK314" i="4"/>
  <c r="AU314" i="4"/>
  <c r="AV314" i="4"/>
  <c r="AX314" i="4"/>
  <c r="AY314" i="4"/>
  <c r="AZ314" i="4"/>
  <c r="BA314" i="4"/>
  <c r="BB314" i="4"/>
  <c r="BC314" i="4"/>
  <c r="BE314" i="4"/>
  <c r="BF314" i="4"/>
  <c r="BG314" i="4"/>
  <c r="BH314" i="4"/>
  <c r="BI314" i="4"/>
  <c r="BJ314" i="4"/>
  <c r="U315" i="4"/>
  <c r="V315" i="4"/>
  <c r="W315" i="4"/>
  <c r="X315" i="4"/>
  <c r="Y315" i="4"/>
  <c r="Z315" i="4"/>
  <c r="AA315" i="4"/>
  <c r="AB315" i="4"/>
  <c r="AC315" i="4"/>
  <c r="AD315" i="4"/>
  <c r="AE315" i="4"/>
  <c r="AF315" i="4"/>
  <c r="AG315" i="4"/>
  <c r="AH315" i="4"/>
  <c r="AJ315" i="4"/>
  <c r="AK315" i="4"/>
  <c r="AU315" i="4"/>
  <c r="AV315" i="4"/>
  <c r="AX315" i="4"/>
  <c r="AY315" i="4"/>
  <c r="AZ315" i="4"/>
  <c r="BA315" i="4"/>
  <c r="BB315" i="4"/>
  <c r="BC315" i="4"/>
  <c r="BE315" i="4"/>
  <c r="BF315" i="4"/>
  <c r="BG315" i="4"/>
  <c r="BH315" i="4"/>
  <c r="BI315" i="4"/>
  <c r="BJ315" i="4"/>
  <c r="U316" i="4"/>
  <c r="V316" i="4"/>
  <c r="W316" i="4"/>
  <c r="X316" i="4"/>
  <c r="Y316" i="4"/>
  <c r="Z316" i="4"/>
  <c r="AD316" i="4"/>
  <c r="AE316" i="4"/>
  <c r="AF316" i="4"/>
  <c r="AG316" i="4"/>
  <c r="AH316" i="4"/>
  <c r="AI316" i="4"/>
  <c r="AJ316" i="4"/>
  <c r="AK316" i="4"/>
  <c r="AU316" i="4"/>
  <c r="AV316" i="4"/>
  <c r="AX316" i="4"/>
  <c r="AY316" i="4"/>
  <c r="AZ316" i="4"/>
  <c r="BA316" i="4"/>
  <c r="BB316" i="4"/>
  <c r="BF316" i="4"/>
  <c r="BG316" i="4"/>
  <c r="BH316" i="4"/>
  <c r="BI316" i="4"/>
  <c r="BJ316" i="4"/>
  <c r="BK316" i="4"/>
  <c r="U317" i="4"/>
  <c r="V317" i="4"/>
  <c r="W317" i="4"/>
  <c r="X317" i="4"/>
  <c r="Y317" i="4"/>
  <c r="Z317" i="4"/>
  <c r="AD317" i="4"/>
  <c r="AE317" i="4"/>
  <c r="AF317" i="4"/>
  <c r="AG317" i="4"/>
  <c r="AH317" i="4"/>
  <c r="AI317" i="4"/>
  <c r="AJ317" i="4"/>
  <c r="AK317" i="4"/>
  <c r="AU317" i="4"/>
  <c r="AV317" i="4"/>
  <c r="AX317" i="4"/>
  <c r="AY317" i="4"/>
  <c r="AZ317" i="4"/>
  <c r="BA317" i="4"/>
  <c r="BB317" i="4"/>
  <c r="BN317" i="4" s="1"/>
  <c r="BF317" i="4"/>
  <c r="BG317" i="4"/>
  <c r="BH317" i="4"/>
  <c r="BI317" i="4"/>
  <c r="BJ317" i="4"/>
  <c r="BK317" i="4"/>
  <c r="U318" i="4"/>
  <c r="V318" i="4"/>
  <c r="W318" i="4"/>
  <c r="X318" i="4"/>
  <c r="Y318" i="4"/>
  <c r="Z318" i="4"/>
  <c r="AD318" i="4"/>
  <c r="AE318" i="4"/>
  <c r="AF318" i="4"/>
  <c r="AG318" i="4"/>
  <c r="AH318" i="4"/>
  <c r="AI318" i="4"/>
  <c r="AJ318" i="4"/>
  <c r="AK318" i="4"/>
  <c r="AU318" i="4"/>
  <c r="AV318" i="4"/>
  <c r="AX318" i="4"/>
  <c r="AY318" i="4"/>
  <c r="AZ318" i="4"/>
  <c r="BA318" i="4"/>
  <c r="BB318" i="4"/>
  <c r="BF318" i="4"/>
  <c r="BG318" i="4"/>
  <c r="BH318" i="4"/>
  <c r="BI318" i="4"/>
  <c r="BJ318" i="4"/>
  <c r="BK318" i="4"/>
  <c r="U319" i="4"/>
  <c r="V319" i="4"/>
  <c r="W319" i="4"/>
  <c r="X319" i="4"/>
  <c r="Y319" i="4"/>
  <c r="Z319" i="4"/>
  <c r="AA319" i="4"/>
  <c r="AB319" i="4"/>
  <c r="AC319" i="4"/>
  <c r="AD319" i="4"/>
  <c r="AE319" i="4"/>
  <c r="AF319" i="4"/>
  <c r="AG319" i="4"/>
  <c r="AH319" i="4"/>
  <c r="AJ319" i="4"/>
  <c r="AK319" i="4"/>
  <c r="AU319" i="4"/>
  <c r="AV319" i="4"/>
  <c r="AX319" i="4"/>
  <c r="AY319" i="4"/>
  <c r="AZ319" i="4"/>
  <c r="BA319" i="4"/>
  <c r="BB319" i="4"/>
  <c r="BC319" i="4"/>
  <c r="BE319" i="4"/>
  <c r="BF319" i="4"/>
  <c r="BG319" i="4"/>
  <c r="BH319" i="4"/>
  <c r="BI319" i="4"/>
  <c r="BJ319" i="4"/>
  <c r="U320" i="4"/>
  <c r="V320" i="4"/>
  <c r="W320" i="4"/>
  <c r="X320" i="4"/>
  <c r="Y320" i="4"/>
  <c r="Z320" i="4"/>
  <c r="AA320" i="4"/>
  <c r="AB320" i="4"/>
  <c r="AC320" i="4"/>
  <c r="AD320" i="4"/>
  <c r="AE320" i="4"/>
  <c r="AF320" i="4"/>
  <c r="AG320" i="4"/>
  <c r="AH320" i="4"/>
  <c r="AJ320" i="4"/>
  <c r="AK320" i="4"/>
  <c r="AU320" i="4"/>
  <c r="AV320" i="4"/>
  <c r="AX320" i="4"/>
  <c r="AY320" i="4"/>
  <c r="AZ320" i="4"/>
  <c r="BA320" i="4"/>
  <c r="BB320" i="4"/>
  <c r="BC320" i="4"/>
  <c r="BE320" i="4"/>
  <c r="BF320" i="4"/>
  <c r="BG320" i="4"/>
  <c r="BH320" i="4"/>
  <c r="BI320" i="4"/>
  <c r="BJ320" i="4"/>
  <c r="U321" i="4"/>
  <c r="V321" i="4"/>
  <c r="W321" i="4"/>
  <c r="X321" i="4"/>
  <c r="Y321" i="4"/>
  <c r="Z321" i="4"/>
  <c r="AA321" i="4"/>
  <c r="AB321" i="4"/>
  <c r="AC321" i="4"/>
  <c r="AD321" i="4"/>
  <c r="AE321" i="4"/>
  <c r="AF321" i="4"/>
  <c r="AG321" i="4"/>
  <c r="AH321" i="4"/>
  <c r="AJ321" i="4"/>
  <c r="AK321" i="4"/>
  <c r="AU321" i="4"/>
  <c r="AV321" i="4"/>
  <c r="AX321" i="4"/>
  <c r="AY321" i="4"/>
  <c r="AZ321" i="4"/>
  <c r="BA321" i="4"/>
  <c r="BB321" i="4"/>
  <c r="BC321" i="4"/>
  <c r="BE321" i="4"/>
  <c r="BF321" i="4"/>
  <c r="BG321" i="4"/>
  <c r="BH321" i="4"/>
  <c r="BI321" i="4"/>
  <c r="BJ321" i="4"/>
  <c r="U322" i="4"/>
  <c r="V322" i="4"/>
  <c r="W322" i="4"/>
  <c r="X322" i="4"/>
  <c r="Y322" i="4"/>
  <c r="Z322" i="4"/>
  <c r="AA322" i="4"/>
  <c r="AB322" i="4"/>
  <c r="AC322" i="4"/>
  <c r="AD322" i="4"/>
  <c r="AE322" i="4"/>
  <c r="AF322" i="4"/>
  <c r="AG322" i="4"/>
  <c r="AH322" i="4"/>
  <c r="AJ322" i="4"/>
  <c r="AK322" i="4"/>
  <c r="AU322" i="4"/>
  <c r="AV322" i="4"/>
  <c r="AX322" i="4"/>
  <c r="AY322" i="4"/>
  <c r="AZ322" i="4"/>
  <c r="BA322" i="4"/>
  <c r="BB322" i="4"/>
  <c r="BC322" i="4"/>
  <c r="BE322" i="4"/>
  <c r="BF322" i="4"/>
  <c r="BG322" i="4"/>
  <c r="BH322" i="4"/>
  <c r="BI322" i="4"/>
  <c r="BJ322" i="4"/>
  <c r="U323" i="4"/>
  <c r="V323" i="4"/>
  <c r="W323" i="4"/>
  <c r="X323" i="4"/>
  <c r="Y323" i="4"/>
  <c r="Z323" i="4"/>
  <c r="AA323" i="4"/>
  <c r="AB323" i="4"/>
  <c r="AC323" i="4"/>
  <c r="AD323" i="4"/>
  <c r="AE323" i="4"/>
  <c r="AF323" i="4"/>
  <c r="AG323" i="4"/>
  <c r="AH323" i="4"/>
  <c r="AJ323" i="4"/>
  <c r="AK323" i="4"/>
  <c r="AU323" i="4"/>
  <c r="AV323" i="4"/>
  <c r="AX323" i="4"/>
  <c r="AY323" i="4"/>
  <c r="AZ323" i="4"/>
  <c r="BA323" i="4"/>
  <c r="BB323" i="4"/>
  <c r="BC323" i="4"/>
  <c r="BE323" i="4"/>
  <c r="BF323" i="4"/>
  <c r="BG323" i="4"/>
  <c r="BH323" i="4"/>
  <c r="BI323" i="4"/>
  <c r="BJ323" i="4"/>
  <c r="U324" i="4"/>
  <c r="V324" i="4"/>
  <c r="W324" i="4"/>
  <c r="X324" i="4"/>
  <c r="Y324" i="4"/>
  <c r="Z324" i="4"/>
  <c r="AA324" i="4"/>
  <c r="AB324" i="4"/>
  <c r="AC324" i="4"/>
  <c r="AD324" i="4"/>
  <c r="AE324" i="4"/>
  <c r="AF324" i="4"/>
  <c r="AG324" i="4"/>
  <c r="AH324" i="4"/>
  <c r="AJ324" i="4"/>
  <c r="AK324" i="4"/>
  <c r="AU324" i="4"/>
  <c r="AV324" i="4"/>
  <c r="AX324" i="4"/>
  <c r="AY324" i="4"/>
  <c r="AZ324" i="4"/>
  <c r="BA324" i="4"/>
  <c r="BB324" i="4"/>
  <c r="BC324" i="4"/>
  <c r="BE324" i="4"/>
  <c r="BF324" i="4"/>
  <c r="BG324" i="4"/>
  <c r="BH324" i="4"/>
  <c r="BI324" i="4"/>
  <c r="BJ324" i="4"/>
  <c r="U325" i="4"/>
  <c r="V325" i="4"/>
  <c r="W325" i="4"/>
  <c r="X325" i="4"/>
  <c r="Y325" i="4"/>
  <c r="Z325" i="4"/>
  <c r="AA325" i="4"/>
  <c r="AB325" i="4"/>
  <c r="AC325" i="4"/>
  <c r="AD325" i="4"/>
  <c r="AE325" i="4"/>
  <c r="AF325" i="4"/>
  <c r="AG325" i="4"/>
  <c r="AH325" i="4"/>
  <c r="AJ325" i="4"/>
  <c r="AK325" i="4"/>
  <c r="AU325" i="4"/>
  <c r="AV325" i="4"/>
  <c r="AX325" i="4"/>
  <c r="AY325" i="4"/>
  <c r="AZ325" i="4"/>
  <c r="BA325" i="4"/>
  <c r="BB325" i="4"/>
  <c r="BC325" i="4"/>
  <c r="BE325" i="4"/>
  <c r="BF325" i="4"/>
  <c r="BG325" i="4"/>
  <c r="BH325" i="4"/>
  <c r="BI325" i="4"/>
  <c r="BJ325" i="4"/>
  <c r="U326" i="4"/>
  <c r="V326" i="4"/>
  <c r="W326" i="4"/>
  <c r="X326" i="4"/>
  <c r="Y326" i="4"/>
  <c r="Z326" i="4"/>
  <c r="AA326" i="4"/>
  <c r="AB326" i="4"/>
  <c r="AC326" i="4"/>
  <c r="AD326" i="4"/>
  <c r="AE326" i="4"/>
  <c r="AF326" i="4"/>
  <c r="AG326" i="4"/>
  <c r="AH326" i="4"/>
  <c r="AJ326" i="4"/>
  <c r="AK326" i="4"/>
  <c r="AU326" i="4"/>
  <c r="AV326" i="4"/>
  <c r="AX326" i="4"/>
  <c r="AY326" i="4"/>
  <c r="AZ326" i="4"/>
  <c r="BA326" i="4"/>
  <c r="BB326" i="4"/>
  <c r="BC326" i="4"/>
  <c r="BE326" i="4"/>
  <c r="BF326" i="4"/>
  <c r="BG326" i="4"/>
  <c r="BH326" i="4"/>
  <c r="BI326" i="4"/>
  <c r="BJ326" i="4"/>
  <c r="U327" i="4"/>
  <c r="V327" i="4"/>
  <c r="W327" i="4"/>
  <c r="X327" i="4"/>
  <c r="Y327" i="4"/>
  <c r="Z327" i="4"/>
  <c r="AA327" i="4"/>
  <c r="AB327" i="4"/>
  <c r="AC327" i="4"/>
  <c r="AD327" i="4"/>
  <c r="AE327" i="4"/>
  <c r="AF327" i="4"/>
  <c r="AG327" i="4"/>
  <c r="AH327" i="4"/>
  <c r="AJ327" i="4"/>
  <c r="AK327" i="4"/>
  <c r="AU327" i="4"/>
  <c r="AV327" i="4"/>
  <c r="AX327" i="4"/>
  <c r="AY327" i="4"/>
  <c r="AZ327" i="4"/>
  <c r="BA327" i="4"/>
  <c r="BB327" i="4"/>
  <c r="BC327" i="4"/>
  <c r="BE327" i="4"/>
  <c r="BF327" i="4"/>
  <c r="BG327" i="4"/>
  <c r="BH327" i="4"/>
  <c r="BI327" i="4"/>
  <c r="BJ327" i="4"/>
  <c r="U328" i="4"/>
  <c r="V328" i="4"/>
  <c r="W328" i="4"/>
  <c r="X328" i="4"/>
  <c r="Y328" i="4"/>
  <c r="Z328" i="4"/>
  <c r="AA328" i="4"/>
  <c r="AB328" i="4"/>
  <c r="AC328" i="4"/>
  <c r="AD328" i="4"/>
  <c r="AE328" i="4"/>
  <c r="AF328" i="4"/>
  <c r="AG328" i="4"/>
  <c r="AH328" i="4"/>
  <c r="AJ328" i="4"/>
  <c r="AK328" i="4"/>
  <c r="AU328" i="4"/>
  <c r="AV328" i="4"/>
  <c r="AX328" i="4"/>
  <c r="AY328" i="4"/>
  <c r="AZ328" i="4"/>
  <c r="BA328" i="4"/>
  <c r="BB328" i="4"/>
  <c r="BC328" i="4"/>
  <c r="BE328" i="4"/>
  <c r="BF328" i="4"/>
  <c r="BG328" i="4"/>
  <c r="BH328" i="4"/>
  <c r="BI328" i="4"/>
  <c r="BJ328" i="4"/>
  <c r="U329" i="4"/>
  <c r="V329" i="4"/>
  <c r="W329" i="4"/>
  <c r="X329" i="4"/>
  <c r="Y329" i="4"/>
  <c r="Z329" i="4"/>
  <c r="AA329" i="4"/>
  <c r="AB329" i="4"/>
  <c r="AC329" i="4"/>
  <c r="AD329" i="4"/>
  <c r="AE329" i="4"/>
  <c r="AF329" i="4"/>
  <c r="AG329" i="4"/>
  <c r="AH329" i="4"/>
  <c r="AJ329" i="4"/>
  <c r="AK329" i="4"/>
  <c r="AU329" i="4"/>
  <c r="AV329" i="4"/>
  <c r="AX329" i="4"/>
  <c r="AY329" i="4"/>
  <c r="AZ329" i="4"/>
  <c r="BA329" i="4"/>
  <c r="BB329" i="4"/>
  <c r="BC329" i="4"/>
  <c r="BE329" i="4"/>
  <c r="BF329" i="4"/>
  <c r="BG329" i="4"/>
  <c r="BH329" i="4"/>
  <c r="BI329" i="4"/>
  <c r="BJ329" i="4"/>
  <c r="U330" i="4"/>
  <c r="V330" i="4"/>
  <c r="W330" i="4"/>
  <c r="X330" i="4"/>
  <c r="Y330" i="4"/>
  <c r="Z330" i="4"/>
  <c r="AA330" i="4"/>
  <c r="AB330" i="4"/>
  <c r="AC330" i="4"/>
  <c r="AD330" i="4"/>
  <c r="AE330" i="4"/>
  <c r="AF330" i="4"/>
  <c r="AG330" i="4"/>
  <c r="AH330" i="4"/>
  <c r="AJ330" i="4"/>
  <c r="AK330" i="4"/>
  <c r="AU330" i="4"/>
  <c r="AV330" i="4"/>
  <c r="AX330" i="4"/>
  <c r="AY330" i="4"/>
  <c r="AZ330" i="4"/>
  <c r="BA330" i="4"/>
  <c r="BB330" i="4"/>
  <c r="BC330" i="4"/>
  <c r="BE330" i="4"/>
  <c r="BF330" i="4"/>
  <c r="BG330" i="4"/>
  <c r="BH330" i="4"/>
  <c r="BI330" i="4"/>
  <c r="BJ330" i="4"/>
  <c r="U331" i="4"/>
  <c r="V331" i="4"/>
  <c r="W331" i="4"/>
  <c r="X331" i="4"/>
  <c r="Y331" i="4"/>
  <c r="Z331" i="4"/>
  <c r="AA331" i="4"/>
  <c r="AB331" i="4"/>
  <c r="AC331" i="4"/>
  <c r="AD331" i="4"/>
  <c r="AE331" i="4"/>
  <c r="AF331" i="4"/>
  <c r="AG331" i="4"/>
  <c r="AH331" i="4"/>
  <c r="AJ331" i="4"/>
  <c r="AK331" i="4"/>
  <c r="AU331" i="4"/>
  <c r="AV331" i="4"/>
  <c r="AX331" i="4"/>
  <c r="AY331" i="4"/>
  <c r="AZ331" i="4"/>
  <c r="BA331" i="4"/>
  <c r="BB331" i="4"/>
  <c r="BC331" i="4"/>
  <c r="BE331" i="4"/>
  <c r="BF331" i="4"/>
  <c r="BG331" i="4"/>
  <c r="BH331" i="4"/>
  <c r="BI331" i="4"/>
  <c r="BJ331" i="4"/>
  <c r="U332" i="4"/>
  <c r="V332" i="4"/>
  <c r="W332" i="4"/>
  <c r="X332" i="4"/>
  <c r="Y332" i="4"/>
  <c r="Z332" i="4"/>
  <c r="AA332" i="4"/>
  <c r="AB332" i="4"/>
  <c r="AC332" i="4"/>
  <c r="AD332" i="4"/>
  <c r="AE332" i="4"/>
  <c r="AF332" i="4"/>
  <c r="AG332" i="4"/>
  <c r="AH332" i="4"/>
  <c r="AJ332" i="4"/>
  <c r="AK332" i="4"/>
  <c r="AU332" i="4"/>
  <c r="AV332" i="4"/>
  <c r="AX332" i="4"/>
  <c r="AY332" i="4"/>
  <c r="AZ332" i="4"/>
  <c r="BA332" i="4"/>
  <c r="BB332" i="4"/>
  <c r="BC332" i="4"/>
  <c r="BE332" i="4"/>
  <c r="BF332" i="4"/>
  <c r="BG332" i="4"/>
  <c r="BH332" i="4"/>
  <c r="BI332" i="4"/>
  <c r="BJ332" i="4"/>
  <c r="U333" i="4"/>
  <c r="V333" i="4"/>
  <c r="W333" i="4"/>
  <c r="X333" i="4"/>
  <c r="Y333" i="4"/>
  <c r="Z333" i="4"/>
  <c r="AA333" i="4"/>
  <c r="AB333" i="4"/>
  <c r="AC333" i="4"/>
  <c r="AD333" i="4"/>
  <c r="AE333" i="4"/>
  <c r="AF333" i="4"/>
  <c r="AG333" i="4"/>
  <c r="AH333" i="4"/>
  <c r="AJ333" i="4"/>
  <c r="AK333" i="4"/>
  <c r="AU333" i="4"/>
  <c r="AV333" i="4"/>
  <c r="AX333" i="4"/>
  <c r="AY333" i="4"/>
  <c r="AZ333" i="4"/>
  <c r="BA333" i="4"/>
  <c r="BB333" i="4"/>
  <c r="BC333" i="4"/>
  <c r="BE333" i="4"/>
  <c r="BF333" i="4"/>
  <c r="BG333" i="4"/>
  <c r="BH333" i="4"/>
  <c r="BI333" i="4"/>
  <c r="BJ333" i="4"/>
  <c r="Q334" i="4"/>
  <c r="R334" i="4"/>
  <c r="S334" i="4"/>
  <c r="T334" i="4"/>
  <c r="AI334" i="4"/>
  <c r="AM334" i="4"/>
  <c r="AN334" i="4"/>
  <c r="AO334" i="4"/>
  <c r="AP334" i="4"/>
  <c r="AQ334" i="4"/>
  <c r="AR334" i="4"/>
  <c r="AS334" i="4"/>
  <c r="AT334" i="4"/>
  <c r="AW334" i="4"/>
  <c r="BD334" i="4"/>
  <c r="BK334" i="4"/>
  <c r="BL334" i="4"/>
  <c r="BR334" i="4"/>
  <c r="BS334" i="4"/>
  <c r="Q335" i="4"/>
  <c r="R335" i="4"/>
  <c r="S335" i="4"/>
  <c r="T335" i="4"/>
  <c r="AI335" i="4"/>
  <c r="AM335" i="4"/>
  <c r="AN335" i="4"/>
  <c r="AO335" i="4"/>
  <c r="AP335" i="4"/>
  <c r="AQ335" i="4"/>
  <c r="AR335" i="4"/>
  <c r="AS335" i="4"/>
  <c r="AT335" i="4"/>
  <c r="AW335" i="4"/>
  <c r="BD335" i="4"/>
  <c r="BK335" i="4"/>
  <c r="BL335" i="4"/>
  <c r="BR335" i="4"/>
  <c r="BS335" i="4"/>
  <c r="Q336" i="4"/>
  <c r="R336" i="4"/>
  <c r="S336" i="4"/>
  <c r="T336" i="4"/>
  <c r="AI336" i="4"/>
  <c r="AM336" i="4"/>
  <c r="AN336" i="4"/>
  <c r="AO336" i="4"/>
  <c r="AP336" i="4"/>
  <c r="AQ336" i="4"/>
  <c r="AR336" i="4"/>
  <c r="AS336" i="4"/>
  <c r="AT336" i="4"/>
  <c r="AW336" i="4"/>
  <c r="BD336" i="4"/>
  <c r="BK336" i="4"/>
  <c r="BL336" i="4"/>
  <c r="BR336" i="4"/>
  <c r="BS336" i="4"/>
  <c r="U337" i="4"/>
  <c r="V337" i="4"/>
  <c r="W337" i="4"/>
  <c r="X337" i="4"/>
  <c r="Y337" i="4"/>
  <c r="Z337" i="4"/>
  <c r="AA337" i="4"/>
  <c r="AB337" i="4"/>
  <c r="AC337" i="4"/>
  <c r="AD337" i="4"/>
  <c r="AE337" i="4"/>
  <c r="AF337" i="4"/>
  <c r="AG337" i="4"/>
  <c r="AH337" i="4"/>
  <c r="AJ337" i="4"/>
  <c r="AK337" i="4"/>
  <c r="AU337" i="4"/>
  <c r="AV337" i="4"/>
  <c r="AX337" i="4"/>
  <c r="AY337" i="4"/>
  <c r="AZ337" i="4"/>
  <c r="BA337" i="4"/>
  <c r="BB337" i="4"/>
  <c r="BC337" i="4"/>
  <c r="BE337" i="4"/>
  <c r="BF337" i="4"/>
  <c r="BG337" i="4"/>
  <c r="BH337" i="4"/>
  <c r="BI337" i="4"/>
  <c r="BJ337" i="4"/>
  <c r="U338" i="4"/>
  <c r="V338" i="4"/>
  <c r="W338" i="4"/>
  <c r="X338" i="4"/>
  <c r="Y338" i="4"/>
  <c r="Z338" i="4"/>
  <c r="AA338" i="4"/>
  <c r="AB338" i="4"/>
  <c r="AC338" i="4"/>
  <c r="AD338" i="4"/>
  <c r="AE338" i="4"/>
  <c r="AF338" i="4"/>
  <c r="AG338" i="4"/>
  <c r="AH338" i="4"/>
  <c r="AJ338" i="4"/>
  <c r="AK338" i="4"/>
  <c r="AU338" i="4"/>
  <c r="AV338" i="4"/>
  <c r="AX338" i="4"/>
  <c r="AY338" i="4"/>
  <c r="AZ338" i="4"/>
  <c r="BA338" i="4"/>
  <c r="BB338" i="4"/>
  <c r="BC338" i="4"/>
  <c r="BE338" i="4"/>
  <c r="BF338" i="4"/>
  <c r="BG338" i="4"/>
  <c r="BH338" i="4"/>
  <c r="BI338" i="4"/>
  <c r="BJ338" i="4"/>
  <c r="U339" i="4"/>
  <c r="V339" i="4"/>
  <c r="W339" i="4"/>
  <c r="X339" i="4"/>
  <c r="Y339" i="4"/>
  <c r="Z339" i="4"/>
  <c r="AA339" i="4"/>
  <c r="AB339" i="4"/>
  <c r="AC339" i="4"/>
  <c r="AD339" i="4"/>
  <c r="AE339" i="4"/>
  <c r="AF339" i="4"/>
  <c r="AG339" i="4"/>
  <c r="AH339" i="4"/>
  <c r="AJ339" i="4"/>
  <c r="AK339" i="4"/>
  <c r="AU339" i="4"/>
  <c r="AV339" i="4"/>
  <c r="AX339" i="4"/>
  <c r="AY339" i="4"/>
  <c r="AZ339" i="4"/>
  <c r="BA339" i="4"/>
  <c r="BB339" i="4"/>
  <c r="BC339" i="4"/>
  <c r="BE339" i="4"/>
  <c r="BF339" i="4"/>
  <c r="BG339" i="4"/>
  <c r="BH339" i="4"/>
  <c r="BI339" i="4"/>
  <c r="BJ339" i="4"/>
  <c r="U340" i="4"/>
  <c r="V340" i="4"/>
  <c r="W340" i="4"/>
  <c r="X340" i="4"/>
  <c r="Y340" i="4"/>
  <c r="Z340" i="4"/>
  <c r="AA340" i="4"/>
  <c r="AB340" i="4"/>
  <c r="AC340" i="4"/>
  <c r="AD340" i="4"/>
  <c r="AE340" i="4"/>
  <c r="AF340" i="4"/>
  <c r="AG340" i="4"/>
  <c r="AH340" i="4"/>
  <c r="AJ340" i="4"/>
  <c r="AK340" i="4"/>
  <c r="AU340" i="4"/>
  <c r="AV340" i="4"/>
  <c r="AX340" i="4"/>
  <c r="AY340" i="4"/>
  <c r="AZ340" i="4"/>
  <c r="BA340" i="4"/>
  <c r="BB340" i="4"/>
  <c r="BC340" i="4"/>
  <c r="BE340" i="4"/>
  <c r="BF340" i="4"/>
  <c r="BG340" i="4"/>
  <c r="BH340" i="4"/>
  <c r="BI340" i="4"/>
  <c r="BJ340" i="4"/>
  <c r="U341" i="4"/>
  <c r="V341" i="4"/>
  <c r="W341" i="4"/>
  <c r="X341" i="4"/>
  <c r="Y341" i="4"/>
  <c r="Z341" i="4"/>
  <c r="AA341" i="4"/>
  <c r="AB341" i="4"/>
  <c r="AC341" i="4"/>
  <c r="AD341" i="4"/>
  <c r="AE341" i="4"/>
  <c r="AF341" i="4"/>
  <c r="AG341" i="4"/>
  <c r="AH341" i="4"/>
  <c r="AJ341" i="4"/>
  <c r="AK341" i="4"/>
  <c r="AU341" i="4"/>
  <c r="AV341" i="4"/>
  <c r="AX341" i="4"/>
  <c r="AY341" i="4"/>
  <c r="AZ341" i="4"/>
  <c r="BA341" i="4"/>
  <c r="BB341" i="4"/>
  <c r="BC341" i="4"/>
  <c r="BE341" i="4"/>
  <c r="BF341" i="4"/>
  <c r="BG341" i="4"/>
  <c r="BH341" i="4"/>
  <c r="BI341" i="4"/>
  <c r="BJ341" i="4"/>
  <c r="U342" i="4"/>
  <c r="V342" i="4"/>
  <c r="W342" i="4"/>
  <c r="X342" i="4"/>
  <c r="Y342" i="4"/>
  <c r="Z342" i="4"/>
  <c r="AA342" i="4"/>
  <c r="AB342" i="4"/>
  <c r="AC342" i="4"/>
  <c r="AD342" i="4"/>
  <c r="AE342" i="4"/>
  <c r="AF342" i="4"/>
  <c r="AG342" i="4"/>
  <c r="AH342" i="4"/>
  <c r="AJ342" i="4"/>
  <c r="AK342" i="4"/>
  <c r="AU342" i="4"/>
  <c r="AV342" i="4"/>
  <c r="AX342" i="4"/>
  <c r="AY342" i="4"/>
  <c r="AZ342" i="4"/>
  <c r="BA342" i="4"/>
  <c r="BB342" i="4"/>
  <c r="BC342" i="4"/>
  <c r="BE342" i="4"/>
  <c r="BF342" i="4"/>
  <c r="BG342" i="4"/>
  <c r="BH342" i="4"/>
  <c r="BI342" i="4"/>
  <c r="BJ342" i="4"/>
  <c r="U343" i="4"/>
  <c r="V343" i="4"/>
  <c r="V334" i="4" s="1"/>
  <c r="W343" i="4"/>
  <c r="W334" i="4" s="1"/>
  <c r="X343" i="4"/>
  <c r="X334" i="4" s="1"/>
  <c r="Y343" i="4"/>
  <c r="Y334" i="4" s="1"/>
  <c r="Z343" i="4"/>
  <c r="Z334" i="4" s="1"/>
  <c r="AA343" i="4"/>
  <c r="AA334" i="4" s="1"/>
  <c r="AB343" i="4"/>
  <c r="AB334" i="4" s="1"/>
  <c r="AC343" i="4"/>
  <c r="AC334" i="4" s="1"/>
  <c r="AD343" i="4"/>
  <c r="AD334" i="4" s="1"/>
  <c r="AE343" i="4"/>
  <c r="AE334" i="4" s="1"/>
  <c r="AF343" i="4"/>
  <c r="AF334" i="4" s="1"/>
  <c r="AG343" i="4"/>
  <c r="AG334" i="4" s="1"/>
  <c r="AH343" i="4"/>
  <c r="AH334" i="4" s="1"/>
  <c r="AJ343" i="4"/>
  <c r="AJ334" i="4" s="1"/>
  <c r="AK343" i="4"/>
  <c r="AK334" i="4" s="1"/>
  <c r="AU343" i="4"/>
  <c r="AU334" i="4" s="1"/>
  <c r="AV343" i="4"/>
  <c r="AV334" i="4" s="1"/>
  <c r="AX343" i="4"/>
  <c r="AX334" i="4" s="1"/>
  <c r="AY343" i="4"/>
  <c r="AY334" i="4" s="1"/>
  <c r="AZ343" i="4"/>
  <c r="AZ334" i="4" s="1"/>
  <c r="BA343" i="4"/>
  <c r="BA334" i="4" s="1"/>
  <c r="BB343" i="4"/>
  <c r="BB334" i="4" s="1"/>
  <c r="BC343" i="4"/>
  <c r="BC334" i="4" s="1"/>
  <c r="BE343" i="4"/>
  <c r="BE334" i="4" s="1"/>
  <c r="BF343" i="4"/>
  <c r="BF334" i="4" s="1"/>
  <c r="BG343" i="4"/>
  <c r="BG334" i="4" s="1"/>
  <c r="BH343" i="4"/>
  <c r="BH334" i="4" s="1"/>
  <c r="BI343" i="4"/>
  <c r="BI334" i="4" s="1"/>
  <c r="BJ343" i="4"/>
  <c r="BJ334" i="4" s="1"/>
  <c r="U344" i="4"/>
  <c r="U335" i="4" s="1"/>
  <c r="V344" i="4"/>
  <c r="V335" i="4" s="1"/>
  <c r="W344" i="4"/>
  <c r="X344" i="4"/>
  <c r="X335" i="4" s="1"/>
  <c r="Y344" i="4"/>
  <c r="Y335" i="4" s="1"/>
  <c r="Z344" i="4"/>
  <c r="Z335" i="4" s="1"/>
  <c r="AA344" i="4"/>
  <c r="AA335" i="4" s="1"/>
  <c r="AB344" i="4"/>
  <c r="AB335" i="4" s="1"/>
  <c r="AC344" i="4"/>
  <c r="AC335" i="4" s="1"/>
  <c r="AD344" i="4"/>
  <c r="AD335" i="4" s="1"/>
  <c r="AE344" i="4"/>
  <c r="AE335" i="4" s="1"/>
  <c r="AF344" i="4"/>
  <c r="AF335" i="4" s="1"/>
  <c r="AG344" i="4"/>
  <c r="AG335" i="4" s="1"/>
  <c r="AH344" i="4"/>
  <c r="AH335" i="4" s="1"/>
  <c r="AJ344" i="4"/>
  <c r="AJ335" i="4" s="1"/>
  <c r="AK344" i="4"/>
  <c r="AK335" i="4" s="1"/>
  <c r="AU344" i="4"/>
  <c r="AU335" i="4" s="1"/>
  <c r="AV344" i="4"/>
  <c r="AV335" i="4" s="1"/>
  <c r="AX344" i="4"/>
  <c r="AX335" i="4" s="1"/>
  <c r="AY344" i="4"/>
  <c r="AY335" i="4" s="1"/>
  <c r="AZ344" i="4"/>
  <c r="BA344" i="4"/>
  <c r="BA335" i="4" s="1"/>
  <c r="BB344" i="4"/>
  <c r="BB335" i="4" s="1"/>
  <c r="BC344" i="4"/>
  <c r="BC335" i="4" s="1"/>
  <c r="BE344" i="4"/>
  <c r="BE335" i="4" s="1"/>
  <c r="BF344" i="4"/>
  <c r="BF335" i="4" s="1"/>
  <c r="BG344" i="4"/>
  <c r="BG335" i="4" s="1"/>
  <c r="BH344" i="4"/>
  <c r="BH335" i="4" s="1"/>
  <c r="BI344" i="4"/>
  <c r="BI335" i="4" s="1"/>
  <c r="BJ344" i="4"/>
  <c r="BJ335" i="4" s="1"/>
  <c r="U345" i="4"/>
  <c r="V345" i="4"/>
  <c r="V336" i="4" s="1"/>
  <c r="W345" i="4"/>
  <c r="W336" i="4" s="1"/>
  <c r="X345" i="4"/>
  <c r="X336" i="4" s="1"/>
  <c r="Y345" i="4"/>
  <c r="Y336" i="4" s="1"/>
  <c r="Z345" i="4"/>
  <c r="Z336" i="4" s="1"/>
  <c r="AA345" i="4"/>
  <c r="AA336" i="4" s="1"/>
  <c r="AB345" i="4"/>
  <c r="AB336" i="4" s="1"/>
  <c r="AC345" i="4"/>
  <c r="AC336" i="4" s="1"/>
  <c r="AD345" i="4"/>
  <c r="AD336" i="4" s="1"/>
  <c r="AE345" i="4"/>
  <c r="AE336" i="4" s="1"/>
  <c r="AF345" i="4"/>
  <c r="AF336" i="4" s="1"/>
  <c r="AG345" i="4"/>
  <c r="AG336" i="4" s="1"/>
  <c r="AH345" i="4"/>
  <c r="AH336" i="4" s="1"/>
  <c r="AJ345" i="4"/>
  <c r="AJ336" i="4" s="1"/>
  <c r="AK345" i="4"/>
  <c r="AK336" i="4" s="1"/>
  <c r="AU345" i="4"/>
  <c r="AU336" i="4" s="1"/>
  <c r="AV345" i="4"/>
  <c r="AV336" i="4" s="1"/>
  <c r="AX345" i="4"/>
  <c r="AX336" i="4" s="1"/>
  <c r="AY345" i="4"/>
  <c r="AY336" i="4" s="1"/>
  <c r="AZ345" i="4"/>
  <c r="BA345" i="4"/>
  <c r="BB345" i="4"/>
  <c r="BB336" i="4" s="1"/>
  <c r="BC345" i="4"/>
  <c r="BC336" i="4" s="1"/>
  <c r="BE345" i="4"/>
  <c r="BE336" i="4" s="1"/>
  <c r="BF345" i="4"/>
  <c r="BF336" i="4" s="1"/>
  <c r="BG345" i="4"/>
  <c r="BG336" i="4" s="1"/>
  <c r="BH345" i="4"/>
  <c r="BH336" i="4" s="1"/>
  <c r="BI345" i="4"/>
  <c r="BI336" i="4" s="1"/>
  <c r="BJ345" i="4"/>
  <c r="BJ336" i="4" s="1"/>
  <c r="AU346" i="4"/>
  <c r="AV346" i="4"/>
  <c r="AX346" i="4"/>
  <c r="AY346" i="4"/>
  <c r="AZ346" i="4"/>
  <c r="BA346" i="4"/>
  <c r="BB346" i="4"/>
  <c r="BC346" i="4"/>
  <c r="BE346" i="4"/>
  <c r="BF346" i="4"/>
  <c r="BG346" i="4"/>
  <c r="BH346" i="4"/>
  <c r="BI346" i="4"/>
  <c r="BJ346" i="4"/>
  <c r="AU347" i="4"/>
  <c r="AV347" i="4"/>
  <c r="AX347" i="4"/>
  <c r="AY347" i="4"/>
  <c r="AZ347" i="4"/>
  <c r="BA347" i="4"/>
  <c r="BB347" i="4"/>
  <c r="BC347" i="4"/>
  <c r="BE347" i="4"/>
  <c r="BF347" i="4"/>
  <c r="BG347" i="4"/>
  <c r="BH347" i="4"/>
  <c r="BI347" i="4"/>
  <c r="BJ347" i="4"/>
  <c r="AU348" i="4"/>
  <c r="AV348" i="4"/>
  <c r="AX348" i="4"/>
  <c r="AY348" i="4"/>
  <c r="AZ348" i="4"/>
  <c r="BA348" i="4"/>
  <c r="BB348" i="4"/>
  <c r="BC348" i="4"/>
  <c r="BE348" i="4"/>
  <c r="BF348" i="4"/>
  <c r="BG348" i="4"/>
  <c r="BH348" i="4"/>
  <c r="BI348" i="4"/>
  <c r="BJ348" i="4"/>
  <c r="BR352" i="4"/>
  <c r="T16" i="4"/>
  <c r="U16" i="4" s="1"/>
  <c r="T17" i="4"/>
  <c r="U17" i="4" s="1"/>
  <c r="T18" i="4"/>
  <c r="U18" i="4" s="1"/>
  <c r="T19" i="4"/>
  <c r="W19" i="4" s="1"/>
  <c r="T21" i="4"/>
  <c r="U21" i="4" s="1"/>
  <c r="T22" i="4"/>
  <c r="U22" i="4" s="1"/>
  <c r="T23" i="4"/>
  <c r="W23" i="4" s="1"/>
  <c r="T25" i="4"/>
  <c r="U25" i="4" s="1"/>
  <c r="T26" i="4"/>
  <c r="U26" i="4" s="1"/>
  <c r="ES171" i="4"/>
  <c r="ET171" i="4" s="1"/>
  <c r="ES170" i="4"/>
  <c r="ET170" i="4" s="1"/>
  <c r="ES169" i="4"/>
  <c r="ET169" i="4" s="1"/>
  <c r="ES168" i="4"/>
  <c r="ET168" i="4" s="1"/>
  <c r="ES167" i="4"/>
  <c r="ET167" i="4" s="1"/>
  <c r="ES166" i="4"/>
  <c r="ET166" i="4" s="1"/>
  <c r="ES165" i="4"/>
  <c r="ET165" i="4" s="1"/>
  <c r="ES164" i="4"/>
  <c r="ET164" i="4" s="1"/>
  <c r="ES163" i="4"/>
  <c r="ET163" i="4" s="1"/>
  <c r="ES162" i="4"/>
  <c r="ET162" i="4" s="1"/>
  <c r="ES161" i="4"/>
  <c r="ET161" i="4" s="1"/>
  <c r="ES160" i="4"/>
  <c r="ET160" i="4" s="1"/>
  <c r="ES159" i="4"/>
  <c r="ET159" i="4" s="1"/>
  <c r="ES157" i="4"/>
  <c r="ET157" i="4" s="1"/>
  <c r="ES156" i="4"/>
  <c r="ET156" i="4" s="1"/>
  <c r="ES155" i="4"/>
  <c r="ET155" i="4" s="1"/>
  <c r="ES154" i="4"/>
  <c r="ET154" i="4" s="1"/>
  <c r="ES153" i="4"/>
  <c r="ET153" i="4" s="1"/>
  <c r="ES152" i="4"/>
  <c r="ET152" i="4" s="1"/>
  <c r="ES151" i="4"/>
  <c r="ET151" i="4" s="1"/>
  <c r="ES150" i="4"/>
  <c r="ET150" i="4" s="1"/>
  <c r="ES149" i="4"/>
  <c r="ET149" i="4" s="1"/>
  <c r="ES148" i="4"/>
  <c r="ET148" i="4" s="1"/>
  <c r="ES147" i="4"/>
  <c r="ET147" i="4" s="1"/>
  <c r="ES145" i="4"/>
  <c r="ET145" i="4" s="1"/>
  <c r="ES144" i="4"/>
  <c r="ET144" i="4" s="1"/>
  <c r="ES143" i="4"/>
  <c r="ET143" i="4" s="1"/>
  <c r="ES142" i="4"/>
  <c r="ET142" i="4" s="1"/>
  <c r="ES141" i="4"/>
  <c r="ET141" i="4" s="1"/>
  <c r="ES140" i="4"/>
  <c r="ET140" i="4" s="1"/>
  <c r="ES139" i="4"/>
  <c r="ET139" i="4" s="1"/>
  <c r="ES138" i="4"/>
  <c r="ES137" i="4"/>
  <c r="ET137" i="4" s="1"/>
  <c r="ES136" i="4"/>
  <c r="ET136" i="4" s="1"/>
  <c r="ES135" i="4"/>
  <c r="ET135" i="4" s="1"/>
  <c r="ES134" i="4"/>
  <c r="ET134" i="4" s="1"/>
  <c r="ES133" i="4"/>
  <c r="ET133" i="4" s="1"/>
  <c r="ES132" i="4"/>
  <c r="ET132" i="4" s="1"/>
  <c r="ES131" i="4"/>
  <c r="ET131" i="4" s="1"/>
  <c r="ES130" i="4"/>
  <c r="ET130" i="4" s="1"/>
  <c r="BM311" i="4" l="1"/>
  <c r="BM331" i="4"/>
  <c r="BN339" i="4"/>
  <c r="BR318" i="4"/>
  <c r="BO326" i="4"/>
  <c r="BO318" i="4"/>
  <c r="BO314" i="4"/>
  <c r="BN321" i="4"/>
  <c r="BO342" i="4"/>
  <c r="BO319" i="4"/>
  <c r="BO321" i="4"/>
  <c r="BP330" i="4"/>
  <c r="BN322" i="4"/>
  <c r="BO346" i="4"/>
  <c r="BM340" i="4"/>
  <c r="BN333" i="4"/>
  <c r="BO348" i="4"/>
  <c r="BM346" i="4"/>
  <c r="BN329" i="4"/>
  <c r="BO320" i="4"/>
  <c r="BO330" i="4"/>
  <c r="BO322" i="4"/>
  <c r="BN316" i="4"/>
  <c r="BM348" i="4"/>
  <c r="BP332" i="4"/>
  <c r="BO323" i="4"/>
  <c r="BO340" i="4"/>
  <c r="BO333" i="4"/>
  <c r="BQ317" i="4"/>
  <c r="BN342" i="4"/>
  <c r="BN328" i="4"/>
  <c r="BO327" i="4"/>
  <c r="BP324" i="4"/>
  <c r="BT333" i="4"/>
  <c r="BM325" i="4"/>
  <c r="BO324" i="4"/>
  <c r="BM326" i="4"/>
  <c r="BO325" i="4"/>
  <c r="BT316" i="4"/>
  <c r="BQ333" i="4"/>
  <c r="BM327" i="4"/>
  <c r="BP322" i="4"/>
  <c r="BO345" i="4"/>
  <c r="BO336" i="4" s="1"/>
  <c r="BO337" i="4"/>
  <c r="BM333" i="4"/>
  <c r="BM322" i="4"/>
  <c r="BM338" i="4"/>
  <c r="BM329" i="4"/>
  <c r="BO328" i="4"/>
  <c r="BO317" i="4"/>
  <c r="BO310" i="4"/>
  <c r="BN324" i="4"/>
  <c r="AL317" i="4"/>
  <c r="BO329" i="4"/>
  <c r="BQ325" i="4"/>
  <c r="BO311" i="4"/>
  <c r="BO339" i="4"/>
  <c r="BQ330" i="4"/>
  <c r="BQ318" i="4"/>
  <c r="BM312" i="4"/>
  <c r="BM319" i="4"/>
  <c r="BM332" i="4"/>
  <c r="BO331" i="4"/>
  <c r="BM320" i="4"/>
  <c r="BO341" i="4"/>
  <c r="BT330" i="4"/>
  <c r="BP333" i="4"/>
  <c r="BO332" i="4"/>
  <c r="BP321" i="4"/>
  <c r="BQ345" i="4"/>
  <c r="BQ336" i="4" s="1"/>
  <c r="BN340" i="4"/>
  <c r="BM339" i="4"/>
  <c r="BM337" i="4"/>
  <c r="BN327" i="4"/>
  <c r="BM324" i="4"/>
  <c r="BM321" i="4"/>
  <c r="BN318" i="4"/>
  <c r="V23" i="4"/>
  <c r="V19" i="4"/>
  <c r="BN348" i="4"/>
  <c r="BO347" i="4"/>
  <c r="BM341" i="4"/>
  <c r="BT328" i="4"/>
  <c r="U23" i="4"/>
  <c r="U19" i="4"/>
  <c r="BM347" i="4"/>
  <c r="BT339" i="4"/>
  <c r="AL332" i="4"/>
  <c r="AL311" i="4"/>
  <c r="BN346" i="4"/>
  <c r="BT344" i="4"/>
  <c r="AL340" i="4"/>
  <c r="BM315" i="4"/>
  <c r="BM314" i="4"/>
  <c r="BP313" i="4"/>
  <c r="W22" i="4"/>
  <c r="W18" i="4"/>
  <c r="BT341" i="4"/>
  <c r="BT340" i="4"/>
  <c r="AL339" i="4"/>
  <c r="AL337" i="4"/>
  <c r="BO315" i="4"/>
  <c r="BO313" i="4"/>
  <c r="BP311" i="4"/>
  <c r="BN310" i="4"/>
  <c r="V22" i="4"/>
  <c r="V18" i="4"/>
  <c r="BT347" i="4"/>
  <c r="BT346" i="4"/>
  <c r="BT345" i="4"/>
  <c r="AL345" i="4"/>
  <c r="AL344" i="4"/>
  <c r="AL342" i="4"/>
  <c r="BT337" i="4"/>
  <c r="BT348" i="4"/>
  <c r="BQ348" i="4"/>
  <c r="BP346" i="4"/>
  <c r="BN345" i="4"/>
  <c r="BN336" i="4" s="1"/>
  <c r="BQ344" i="4"/>
  <c r="BQ335" i="4" s="1"/>
  <c r="AL343" i="4"/>
  <c r="AL341" i="4"/>
  <c r="BQ339" i="4"/>
  <c r="BQ338" i="4"/>
  <c r="AL338" i="4"/>
  <c r="BR317" i="4"/>
  <c r="BO312" i="4"/>
  <c r="BP348" i="4"/>
  <c r="BM345" i="4"/>
  <c r="BM336" i="4" s="1"/>
  <c r="BP344" i="4"/>
  <c r="BP335" i="4" s="1"/>
  <c r="BP342" i="4"/>
  <c r="BQ341" i="4"/>
  <c r="BP338" i="4"/>
  <c r="BT338" i="4"/>
  <c r="BN331" i="4"/>
  <c r="BM328" i="4"/>
  <c r="BM323" i="4"/>
  <c r="BP318" i="4"/>
  <c r="BO316" i="4"/>
  <c r="AL315" i="4"/>
  <c r="AL314" i="4"/>
  <c r="BT313" i="4"/>
  <c r="BT311" i="4"/>
  <c r="W26" i="4"/>
  <c r="W21" i="4"/>
  <c r="W17" i="4"/>
  <c r="BN344" i="4"/>
  <c r="BN335" i="4" s="1"/>
  <c r="BN343" i="4"/>
  <c r="BN334" i="4" s="1"/>
  <c r="BM342" i="4"/>
  <c r="BP341" i="4"/>
  <c r="BO338" i="4"/>
  <c r="BM330" i="4"/>
  <c r="BQ324" i="4"/>
  <c r="AL323" i="4"/>
  <c r="BT314" i="4"/>
  <c r="AL313" i="4"/>
  <c r="AL312" i="4"/>
  <c r="AL310" i="4"/>
  <c r="V26" i="4"/>
  <c r="V21" i="4"/>
  <c r="V17" i="4"/>
  <c r="BM344" i="4"/>
  <c r="BM335" i="4" s="1"/>
  <c r="BN338" i="4"/>
  <c r="BN313" i="4"/>
  <c r="BT312" i="4"/>
  <c r="W335" i="4"/>
  <c r="AL335" i="4" s="1"/>
  <c r="BT332" i="4"/>
  <c r="AL329" i="4"/>
  <c r="AL325" i="4"/>
  <c r="AL316" i="4"/>
  <c r="BN314" i="4"/>
  <c r="BM313" i="4"/>
  <c r="BP312" i="4"/>
  <c r="BP310" i="4"/>
  <c r="AL333" i="4"/>
  <c r="AL331" i="4"/>
  <c r="BT329" i="4"/>
  <c r="AL328" i="4"/>
  <c r="AL326" i="4"/>
  <c r="BT325" i="4"/>
  <c r="AL320" i="4"/>
  <c r="AL319" i="4"/>
  <c r="AL318" i="4"/>
  <c r="BT317" i="4"/>
  <c r="BN312" i="4"/>
  <c r="BN311" i="4"/>
  <c r="BM310" i="4"/>
  <c r="W25" i="4"/>
  <c r="W16" i="4"/>
  <c r="BT326" i="4"/>
  <c r="AL322" i="4"/>
  <c r="BT319" i="4"/>
  <c r="BR316" i="4"/>
  <c r="V25" i="4"/>
  <c r="V16" i="4"/>
  <c r="BP331" i="4"/>
  <c r="AL330" i="4"/>
  <c r="BQ328" i="4"/>
  <c r="BQ327" i="4"/>
  <c r="AL327" i="4"/>
  <c r="AL324" i="4"/>
  <c r="BT322" i="4"/>
  <c r="AL321" i="4"/>
  <c r="BT318" i="4"/>
  <c r="BP317" i="4"/>
  <c r="BQ316" i="4"/>
  <c r="BN332" i="4"/>
  <c r="BP327" i="4"/>
  <c r="BT327" i="4"/>
  <c r="BP325" i="4"/>
  <c r="BT324" i="4"/>
  <c r="BT321" i="4"/>
  <c r="BN319" i="4"/>
  <c r="BP316" i="4"/>
  <c r="BT334" i="4"/>
  <c r="BT320" i="4"/>
  <c r="BT315" i="4"/>
  <c r="BT323" i="4"/>
  <c r="BQ320" i="4"/>
  <c r="BQ315" i="4"/>
  <c r="BO344" i="4"/>
  <c r="BO335" i="4" s="1"/>
  <c r="BN341" i="4"/>
  <c r="BN330" i="4"/>
  <c r="BQ323" i="4"/>
  <c r="BP320" i="4"/>
  <c r="BP315" i="4"/>
  <c r="BQ337" i="4"/>
  <c r="AZ335" i="4"/>
  <c r="BT335" i="4" s="1"/>
  <c r="BQ326" i="4"/>
  <c r="BP323" i="4"/>
  <c r="BP347" i="4"/>
  <c r="BT343" i="4"/>
  <c r="BQ340" i="4"/>
  <c r="BP337" i="4"/>
  <c r="BQ329" i="4"/>
  <c r="BP326" i="4"/>
  <c r="BN320" i="4"/>
  <c r="BN315" i="4"/>
  <c r="BP340" i="4"/>
  <c r="BQ332" i="4"/>
  <c r="BP329" i="4"/>
  <c r="BN323" i="4"/>
  <c r="BQ311" i="4"/>
  <c r="BQ347" i="4"/>
  <c r="BQ343" i="4"/>
  <c r="BQ334" i="4" s="1"/>
  <c r="BN347" i="4"/>
  <c r="BP343" i="4"/>
  <c r="BP334" i="4" s="1"/>
  <c r="BN337" i="4"/>
  <c r="BN326" i="4"/>
  <c r="BQ319" i="4"/>
  <c r="BQ314" i="4"/>
  <c r="BQ346" i="4"/>
  <c r="BO343" i="4"/>
  <c r="BO334" i="4" s="1"/>
  <c r="BQ322" i="4"/>
  <c r="BP319" i="4"/>
  <c r="BP314" i="4"/>
  <c r="BM343" i="4"/>
  <c r="BM334" i="4" s="1"/>
  <c r="BT331" i="4"/>
  <c r="BT310" i="4"/>
  <c r="BT342" i="4"/>
  <c r="BQ342" i="4"/>
  <c r="BP339" i="4"/>
  <c r="BA336" i="4"/>
  <c r="U336" i="4"/>
  <c r="AL336" i="4" s="1"/>
  <c r="U334" i="4"/>
  <c r="AL334" i="4" s="1"/>
  <c r="BQ331" i="4"/>
  <c r="BP328" i="4"/>
  <c r="BQ310" i="4"/>
  <c r="AZ336" i="4"/>
  <c r="BN325" i="4"/>
  <c r="BQ313" i="4"/>
  <c r="BP345" i="4"/>
  <c r="BP336" i="4" s="1"/>
  <c r="BQ321" i="4"/>
  <c r="ES146" i="4"/>
  <c r="ET146" i="4" s="1"/>
  <c r="ES158" i="4"/>
  <c r="ET158" i="4" s="1"/>
  <c r="BT336" i="4" l="1"/>
  <c r="EG131" i="4" l="1"/>
  <c r="EG132" i="4"/>
  <c r="EG133" i="4"/>
  <c r="EG130" i="4"/>
  <c r="M88" i="4" l="1"/>
  <c r="J88" i="4"/>
  <c r="L88" i="4"/>
  <c r="K88" i="4"/>
  <c r="J87" i="4"/>
  <c r="L87" i="4"/>
  <c r="K87" i="4"/>
  <c r="M87" i="4"/>
  <c r="H86" i="4"/>
  <c r="K86" i="4"/>
  <c r="J86" i="4"/>
  <c r="L86" i="4"/>
  <c r="M86" i="4"/>
  <c r="H85" i="4"/>
  <c r="K85" i="4"/>
  <c r="L85" i="4"/>
  <c r="J85" i="4"/>
  <c r="M85" i="4"/>
  <c r="H88" i="4"/>
  <c r="H87" i="4"/>
  <c r="AC88" i="4" l="1"/>
  <c r="AE88" i="4" s="1"/>
  <c r="CA88" i="4" s="1"/>
  <c r="AC86" i="4"/>
  <c r="AE86" i="4" s="1"/>
  <c r="CA86" i="4" s="1"/>
  <c r="AC87" i="4"/>
  <c r="AE87" i="4" s="1"/>
  <c r="CA87" i="4" s="1"/>
  <c r="AC85" i="4"/>
  <c r="AE85" i="4" s="1"/>
  <c r="CA85" i="4" s="1"/>
  <c r="G7" i="11"/>
  <c r="G8" i="11"/>
  <c r="G9" i="11"/>
  <c r="G10" i="11"/>
  <c r="G6" i="11"/>
  <c r="C6" i="11"/>
  <c r="C7" i="11"/>
  <c r="C8" i="11"/>
  <c r="C9" i="11"/>
  <c r="C10" i="11"/>
  <c r="EG127" i="4" l="1"/>
  <c r="EG128" i="4"/>
  <c r="K80" i="4"/>
  <c r="EG124" i="4"/>
  <c r="EG123" i="4"/>
  <c r="O78" i="4" l="1"/>
  <c r="N78" i="4"/>
  <c r="Q78" i="4"/>
  <c r="N79" i="4"/>
  <c r="Q79" i="4"/>
  <c r="O79" i="4"/>
  <c r="O82" i="4"/>
  <c r="K79" i="4"/>
  <c r="M79" i="4" s="1"/>
  <c r="K81" i="4"/>
  <c r="M81" i="4" s="1"/>
  <c r="Z81" i="4" s="1"/>
  <c r="AB81" i="4" s="1"/>
  <c r="AC81" i="4" s="1"/>
  <c r="AD81" i="4" s="1"/>
  <c r="AE81" i="4" s="1"/>
  <c r="M80" i="4"/>
  <c r="Z80" i="4" s="1"/>
  <c r="K78" i="4"/>
  <c r="M78" i="4" s="1"/>
  <c r="O83" i="4"/>
  <c r="K83" i="4"/>
  <c r="M83" i="4" s="1"/>
  <c r="G35" i="6"/>
  <c r="I35" i="6" s="1"/>
  <c r="D35" i="6"/>
  <c r="C35" i="6"/>
  <c r="G34" i="6"/>
  <c r="I34" i="6" s="1"/>
  <c r="D34" i="6"/>
  <c r="C34" i="6"/>
  <c r="G33" i="6"/>
  <c r="I33" i="6" s="1"/>
  <c r="D33" i="6"/>
  <c r="C33" i="6"/>
  <c r="G32" i="6"/>
  <c r="I32" i="6" s="1"/>
  <c r="D32" i="6"/>
  <c r="C32" i="6"/>
  <c r="G31" i="6"/>
  <c r="I31" i="6" s="1"/>
  <c r="D31" i="6"/>
  <c r="C31" i="6"/>
  <c r="G30" i="6"/>
  <c r="I30" i="6" s="1"/>
  <c r="D30" i="6"/>
  <c r="C30" i="6"/>
  <c r="G29" i="6"/>
  <c r="I29" i="6" s="1"/>
  <c r="D29" i="6"/>
  <c r="C29" i="6"/>
  <c r="G28" i="6"/>
  <c r="I28" i="6" s="1"/>
  <c r="D28" i="6"/>
  <c r="C28" i="6"/>
  <c r="G27" i="6"/>
  <c r="I27" i="6" s="1"/>
  <c r="D27" i="6"/>
  <c r="C27" i="6"/>
  <c r="G26" i="6"/>
  <c r="I26" i="6" s="1"/>
  <c r="D26" i="6"/>
  <c r="C26" i="6"/>
  <c r="G25" i="6"/>
  <c r="I25" i="6" s="1"/>
  <c r="D25" i="6"/>
  <c r="C25" i="6"/>
  <c r="G24" i="6"/>
  <c r="I24" i="6" s="1"/>
  <c r="D24" i="6"/>
  <c r="C24" i="6"/>
  <c r="G23" i="6"/>
  <c r="I23" i="6" s="1"/>
  <c r="D23" i="6"/>
  <c r="C23" i="6"/>
  <c r="G22" i="6"/>
  <c r="I22" i="6" s="1"/>
  <c r="D22" i="6"/>
  <c r="C22" i="6"/>
  <c r="G21" i="6"/>
  <c r="I21" i="6" s="1"/>
  <c r="D21" i="6"/>
  <c r="C21" i="6"/>
  <c r="G20" i="6"/>
  <c r="I20" i="6" s="1"/>
  <c r="D20" i="6"/>
  <c r="C20" i="6"/>
  <c r="G19" i="6"/>
  <c r="I19" i="6" s="1"/>
  <c r="D19" i="6"/>
  <c r="C19" i="6"/>
  <c r="G18" i="6"/>
  <c r="I18" i="6" s="1"/>
  <c r="D18" i="6"/>
  <c r="C18" i="6"/>
  <c r="G17" i="6"/>
  <c r="I17" i="6" s="1"/>
  <c r="D17" i="6"/>
  <c r="C17" i="6"/>
  <c r="G16" i="6"/>
  <c r="I16" i="6" s="1"/>
  <c r="D16" i="6"/>
  <c r="C16" i="6"/>
  <c r="G15" i="6"/>
  <c r="I15" i="6" s="1"/>
  <c r="D15" i="6"/>
  <c r="C15" i="6"/>
  <c r="G14" i="6"/>
  <c r="I14" i="6" s="1"/>
  <c r="D14" i="6"/>
  <c r="C14" i="6"/>
  <c r="G13" i="6"/>
  <c r="I13" i="6" s="1"/>
  <c r="D13" i="6"/>
  <c r="C13" i="6"/>
  <c r="G12" i="6"/>
  <c r="I12" i="6" s="1"/>
  <c r="D12" i="6"/>
  <c r="C12" i="6"/>
  <c r="G11" i="6"/>
  <c r="I11" i="6" s="1"/>
  <c r="D11" i="6"/>
  <c r="C11" i="6"/>
  <c r="G10" i="6"/>
  <c r="I10" i="6" s="1"/>
  <c r="D10" i="6"/>
  <c r="C10" i="6"/>
  <c r="G9" i="6"/>
  <c r="I9" i="6" s="1"/>
  <c r="D9" i="6"/>
  <c r="C9" i="6"/>
  <c r="G8" i="6"/>
  <c r="I8" i="6" s="1"/>
  <c r="D8" i="6"/>
  <c r="C8" i="6"/>
  <c r="G7" i="6"/>
  <c r="I7" i="6" s="1"/>
  <c r="D7" i="6"/>
  <c r="C7" i="6"/>
  <c r="G6" i="6"/>
  <c r="I6" i="6" s="1"/>
  <c r="D6" i="6"/>
  <c r="C6" i="6"/>
  <c r="DK440" i="4"/>
  <c r="DK439" i="4"/>
  <c r="DK438" i="4"/>
  <c r="DK437" i="4"/>
  <c r="DK436" i="4"/>
  <c r="DK435" i="4"/>
  <c r="DK434" i="4"/>
  <c r="DK433" i="4"/>
  <c r="DK432" i="4"/>
  <c r="DK431" i="4"/>
  <c r="DK430" i="4"/>
  <c r="DK429" i="4"/>
  <c r="DK428" i="4"/>
  <c r="DK427" i="4"/>
  <c r="DK426" i="4"/>
  <c r="DK425" i="4"/>
  <c r="DK424" i="4"/>
  <c r="DK423" i="4"/>
  <c r="DK422" i="4"/>
  <c r="DK421" i="4"/>
  <c r="DK420" i="4"/>
  <c r="DK419" i="4"/>
  <c r="DK418" i="4"/>
  <c r="DK417" i="4"/>
  <c r="DK416" i="4"/>
  <c r="DK415" i="4"/>
  <c r="DK414" i="4"/>
  <c r="DK413" i="4"/>
  <c r="DK412" i="4"/>
  <c r="DK411" i="4"/>
  <c r="DK410" i="4"/>
  <c r="DK409" i="4"/>
  <c r="DK408" i="4"/>
  <c r="DK407" i="4"/>
  <c r="DK406" i="4"/>
  <c r="DK405" i="4"/>
  <c r="DK404" i="4"/>
  <c r="DK403" i="4"/>
  <c r="DK402" i="4"/>
  <c r="DK401" i="4"/>
  <c r="DK400" i="4"/>
  <c r="DK399" i="4"/>
  <c r="DK398" i="4"/>
  <c r="DK397" i="4"/>
  <c r="DK396" i="4"/>
  <c r="DK395" i="4"/>
  <c r="DK394" i="4"/>
  <c r="DK393" i="4"/>
  <c r="DK392" i="4"/>
  <c r="DK390" i="4"/>
  <c r="DK374" i="4"/>
  <c r="DK373" i="4"/>
  <c r="DK372" i="4"/>
  <c r="EE371" i="4"/>
  <c r="DK371" i="4"/>
  <c r="EE370" i="4"/>
  <c r="DU370" i="4" s="1"/>
  <c r="DK370" i="4"/>
  <c r="DK369" i="4"/>
  <c r="DK368" i="4"/>
  <c r="CF368" i="4"/>
  <c r="DK367" i="4"/>
  <c r="CF367" i="4"/>
  <c r="DK366" i="4"/>
  <c r="CF366" i="4"/>
  <c r="DK365" i="4"/>
  <c r="CF365" i="4"/>
  <c r="DK364" i="4"/>
  <c r="CF364" i="4"/>
  <c r="DK363" i="4"/>
  <c r="CF363" i="4"/>
  <c r="DK362" i="4"/>
  <c r="CF362" i="4"/>
  <c r="DK361" i="4"/>
  <c r="CF361" i="4"/>
  <c r="DK360" i="4"/>
  <c r="CF360" i="4"/>
  <c r="DK359" i="4"/>
  <c r="CF359" i="4"/>
  <c r="EE358" i="4"/>
  <c r="DK358" i="4"/>
  <c r="DK357" i="4"/>
  <c r="EE356" i="4"/>
  <c r="DK356" i="4"/>
  <c r="DK355" i="4"/>
  <c r="CT354" i="4"/>
  <c r="CS354" i="4"/>
  <c r="CQ354" i="4"/>
  <c r="DI354" i="4" s="1"/>
  <c r="CN354" i="4"/>
  <c r="CM354" i="4"/>
  <c r="CK354" i="4"/>
  <c r="CI354" i="4"/>
  <c r="DK354" i="4" s="1"/>
  <c r="CH354" i="4"/>
  <c r="CF354" i="4"/>
  <c r="CT353" i="4"/>
  <c r="CS353" i="4"/>
  <c r="CQ353" i="4"/>
  <c r="DI353" i="4" s="1"/>
  <c r="CN353" i="4"/>
  <c r="CM353" i="4"/>
  <c r="CK353" i="4"/>
  <c r="CI353" i="4"/>
  <c r="DK353" i="4" s="1"/>
  <c r="CH353" i="4"/>
  <c r="CF353" i="4"/>
  <c r="CI352" i="4"/>
  <c r="DK352" i="4" s="1"/>
  <c r="CH352" i="4"/>
  <c r="CF352" i="4"/>
  <c r="CI351" i="4"/>
  <c r="DK351" i="4" s="1"/>
  <c r="CH351" i="4"/>
  <c r="CF351" i="4"/>
  <c r="CI350" i="4"/>
  <c r="DK350" i="4" s="1"/>
  <c r="CH350" i="4"/>
  <c r="CF350" i="4"/>
  <c r="CN349" i="4"/>
  <c r="CM349" i="4"/>
  <c r="CK349" i="4"/>
  <c r="CI349" i="4"/>
  <c r="DK349" i="4" s="1"/>
  <c r="CH349" i="4"/>
  <c r="CF349" i="4"/>
  <c r="CN348" i="4"/>
  <c r="CM348" i="4"/>
  <c r="CK348" i="4"/>
  <c r="CI348" i="4"/>
  <c r="DK348" i="4" s="1"/>
  <c r="CH348" i="4"/>
  <c r="CF348" i="4"/>
  <c r="ED347" i="4"/>
  <c r="DK347" i="4"/>
  <c r="DK346" i="4"/>
  <c r="ED345" i="4"/>
  <c r="DK345" i="4"/>
  <c r="DK344" i="4"/>
  <c r="DK343" i="4"/>
  <c r="DY342" i="4"/>
  <c r="EA342" i="4" s="1"/>
  <c r="EC342" i="4" s="1"/>
  <c r="DV342" i="4"/>
  <c r="DU342" i="4"/>
  <c r="CD342" i="4"/>
  <c r="DY341" i="4"/>
  <c r="EA341" i="4" s="1"/>
  <c r="EB341" i="4" s="1"/>
  <c r="DV341" i="4"/>
  <c r="DU341" i="4"/>
  <c r="CD341" i="4"/>
  <c r="DY340" i="4"/>
  <c r="EA340" i="4" s="1"/>
  <c r="EB340" i="4" s="1"/>
  <c r="DV340" i="4"/>
  <c r="DU340" i="4"/>
  <c r="CD340" i="4"/>
  <c r="DY339" i="4"/>
  <c r="EA339" i="4" s="1"/>
  <c r="EB339" i="4" s="1"/>
  <c r="DV339" i="4"/>
  <c r="DU339" i="4"/>
  <c r="CD339" i="4"/>
  <c r="DY338" i="4"/>
  <c r="EA338" i="4" s="1"/>
  <c r="EB338" i="4" s="1"/>
  <c r="DV338" i="4"/>
  <c r="DU338" i="4"/>
  <c r="CD338" i="4"/>
  <c r="DY337" i="4"/>
  <c r="EA337" i="4" s="1"/>
  <c r="DV337" i="4"/>
  <c r="DU337" i="4"/>
  <c r="CD337" i="4"/>
  <c r="CD336" i="4"/>
  <c r="CD335" i="4"/>
  <c r="CD334" i="4"/>
  <c r="DY333" i="4"/>
  <c r="EA333" i="4" s="1"/>
  <c r="DV333" i="4"/>
  <c r="DU333" i="4"/>
  <c r="CD333" i="4"/>
  <c r="DY332" i="4"/>
  <c r="EA332" i="4" s="1"/>
  <c r="DV332" i="4"/>
  <c r="DU332" i="4"/>
  <c r="CD332" i="4"/>
  <c r="DY331" i="4"/>
  <c r="EA331" i="4" s="1"/>
  <c r="DV331" i="4"/>
  <c r="DU331" i="4"/>
  <c r="CD331" i="4"/>
  <c r="DY330" i="4"/>
  <c r="EA330" i="4" s="1"/>
  <c r="DV330" i="4"/>
  <c r="DU330" i="4"/>
  <c r="CD330" i="4"/>
  <c r="DY329" i="4"/>
  <c r="EA329" i="4" s="1"/>
  <c r="DV329" i="4"/>
  <c r="DU329" i="4"/>
  <c r="CD329" i="4"/>
  <c r="DY328" i="4"/>
  <c r="EA328" i="4" s="1"/>
  <c r="DV328" i="4"/>
  <c r="DU328" i="4"/>
  <c r="CD328" i="4"/>
  <c r="DY327" i="4"/>
  <c r="EA327" i="4" s="1"/>
  <c r="EB327" i="4" s="1"/>
  <c r="DV327" i="4"/>
  <c r="DU327" i="4"/>
  <c r="CD327" i="4"/>
  <c r="DY326" i="4"/>
  <c r="EA326" i="4" s="1"/>
  <c r="EB326" i="4" s="1"/>
  <c r="DV326" i="4"/>
  <c r="DU326" i="4"/>
  <c r="CD326" i="4"/>
  <c r="DY325" i="4"/>
  <c r="EA325" i="4" s="1"/>
  <c r="DV325" i="4"/>
  <c r="DU325" i="4"/>
  <c r="CD325" i="4"/>
  <c r="DY324" i="4"/>
  <c r="EA324" i="4" s="1"/>
  <c r="DV324" i="4"/>
  <c r="DU324" i="4"/>
  <c r="CD324" i="4"/>
  <c r="DY323" i="4"/>
  <c r="EA323" i="4" s="1"/>
  <c r="EC323" i="4" s="1"/>
  <c r="DV323" i="4"/>
  <c r="DU323" i="4"/>
  <c r="CD323" i="4"/>
  <c r="DY322" i="4"/>
  <c r="EA322" i="4" s="1"/>
  <c r="DV322" i="4"/>
  <c r="DU322" i="4"/>
  <c r="CD322" i="4"/>
  <c r="DY321" i="4"/>
  <c r="EA321" i="4" s="1"/>
  <c r="DV321" i="4"/>
  <c r="DU321" i="4"/>
  <c r="CD321" i="4"/>
  <c r="DY320" i="4"/>
  <c r="EA320" i="4" s="1"/>
  <c r="DV320" i="4"/>
  <c r="DU320" i="4"/>
  <c r="CD320" i="4"/>
  <c r="DY319" i="4"/>
  <c r="EA319" i="4" s="1"/>
  <c r="DV319" i="4"/>
  <c r="DU319" i="4"/>
  <c r="CD319" i="4"/>
  <c r="DY318" i="4"/>
  <c r="EA318" i="4" s="1"/>
  <c r="EC318" i="4" s="1"/>
  <c r="DV318" i="4"/>
  <c r="DU318" i="4"/>
  <c r="CD318" i="4"/>
  <c r="DY317" i="4"/>
  <c r="EA317" i="4" s="1"/>
  <c r="DV317" i="4"/>
  <c r="DU317" i="4"/>
  <c r="CD317" i="4"/>
  <c r="DY316" i="4"/>
  <c r="EA316" i="4" s="1"/>
  <c r="EC316" i="4" s="1"/>
  <c r="DV316" i="4"/>
  <c r="DU316" i="4"/>
  <c r="CD316" i="4"/>
  <c r="DY315" i="4"/>
  <c r="EA315" i="4" s="1"/>
  <c r="DV315" i="4"/>
  <c r="DU315" i="4"/>
  <c r="CD315" i="4"/>
  <c r="DY314" i="4"/>
  <c r="EA314" i="4" s="1"/>
  <c r="DV314" i="4"/>
  <c r="DU314" i="4"/>
  <c r="CD314" i="4"/>
  <c r="DY313" i="4"/>
  <c r="EA313" i="4" s="1"/>
  <c r="DV313" i="4"/>
  <c r="DU313" i="4"/>
  <c r="CD313" i="4"/>
  <c r="DY312" i="4"/>
  <c r="EA312" i="4" s="1"/>
  <c r="DV312" i="4"/>
  <c r="DU312" i="4"/>
  <c r="CD312" i="4"/>
  <c r="DY311" i="4"/>
  <c r="EA311" i="4" s="1"/>
  <c r="DV311" i="4"/>
  <c r="DU311" i="4"/>
  <c r="CD311" i="4"/>
  <c r="DY310" i="4"/>
  <c r="EA310" i="4" s="1"/>
  <c r="DV310" i="4"/>
  <c r="DU310" i="4"/>
  <c r="CD310" i="4"/>
  <c r="DK309" i="4"/>
  <c r="DK308" i="4"/>
  <c r="DK307" i="4"/>
  <c r="DK306" i="4"/>
  <c r="DK305" i="4"/>
  <c r="DX304" i="4"/>
  <c r="DV304" i="4"/>
  <c r="DX303" i="4"/>
  <c r="DV303" i="4"/>
  <c r="DX295" i="4"/>
  <c r="DV295" i="4"/>
  <c r="DK294" i="4"/>
  <c r="DK293" i="4"/>
  <c r="DK292" i="4"/>
  <c r="DK291" i="4"/>
  <c r="CL290" i="4"/>
  <c r="CF290" i="4"/>
  <c r="CL289" i="4"/>
  <c r="CF289" i="4"/>
  <c r="CL288" i="4"/>
  <c r="CL287" i="4"/>
  <c r="CF287" i="4"/>
  <c r="CL286" i="4"/>
  <c r="CF286" i="4"/>
  <c r="CL285" i="4"/>
  <c r="CF285" i="4"/>
  <c r="CL284" i="4"/>
  <c r="CL283" i="4"/>
  <c r="CF283" i="4"/>
  <c r="CL282" i="4"/>
  <c r="CF282" i="4"/>
  <c r="CL281" i="4"/>
  <c r="CF281" i="4"/>
  <c r="CL280" i="4"/>
  <c r="CL279" i="4"/>
  <c r="CF279" i="4"/>
  <c r="CL278" i="4"/>
  <c r="CF278" i="4"/>
  <c r="CL277" i="4"/>
  <c r="CF277" i="4"/>
  <c r="CL276" i="4"/>
  <c r="CL275" i="4"/>
  <c r="CF275" i="4"/>
  <c r="CL274" i="4"/>
  <c r="CF274" i="4"/>
  <c r="CL273" i="4"/>
  <c r="CF273" i="4"/>
  <c r="CL272" i="4"/>
  <c r="CL271" i="4"/>
  <c r="CF271" i="4"/>
  <c r="CL270" i="4"/>
  <c r="BT268" i="4"/>
  <c r="BU268" i="4" s="1"/>
  <c r="BI268" i="4"/>
  <c r="BJ268" i="4" s="1"/>
  <c r="BK268" i="4" s="1"/>
  <c r="BB268" i="4"/>
  <c r="BC268" i="4" s="1"/>
  <c r="BD268" i="4" s="1"/>
  <c r="BL268" i="4" s="1"/>
  <c r="BM268" i="4" s="1"/>
  <c r="BM265" i="4"/>
  <c r="BL265" i="4"/>
  <c r="BK265" i="4"/>
  <c r="BJ265" i="4"/>
  <c r="BI265" i="4"/>
  <c r="BD265" i="4"/>
  <c r="BC265" i="4"/>
  <c r="BB265" i="4"/>
  <c r="CF269" i="4" s="1"/>
  <c r="BM264" i="4"/>
  <c r="BL264" i="4"/>
  <c r="BK264" i="4"/>
  <c r="BJ264" i="4"/>
  <c r="BI264" i="4"/>
  <c r="BD264" i="4"/>
  <c r="BC264" i="4"/>
  <c r="BB264" i="4"/>
  <c r="BM263" i="4"/>
  <c r="BL263" i="4"/>
  <c r="BK263" i="4"/>
  <c r="BJ263" i="4"/>
  <c r="BI263" i="4"/>
  <c r="BD263" i="4"/>
  <c r="BC263" i="4"/>
  <c r="BB263" i="4"/>
  <c r="BM262" i="4"/>
  <c r="BL262" i="4"/>
  <c r="BK262" i="4"/>
  <c r="BJ262" i="4"/>
  <c r="BI262" i="4"/>
  <c r="BD262" i="4"/>
  <c r="BC262" i="4"/>
  <c r="BB262" i="4"/>
  <c r="CF266" i="4" s="1"/>
  <c r="BM261" i="4"/>
  <c r="BL261" i="4"/>
  <c r="BK261" i="4"/>
  <c r="BJ261" i="4"/>
  <c r="BI261" i="4"/>
  <c r="BD261" i="4"/>
  <c r="BC261" i="4"/>
  <c r="BB261" i="4"/>
  <c r="BM260" i="4"/>
  <c r="BL260" i="4"/>
  <c r="BK260" i="4"/>
  <c r="BJ260" i="4"/>
  <c r="BI260" i="4"/>
  <c r="BD260" i="4"/>
  <c r="BC260" i="4"/>
  <c r="BB260" i="4"/>
  <c r="CF264" i="4" s="1"/>
  <c r="AS260" i="4"/>
  <c r="CR287" i="4" s="1"/>
  <c r="CR288" i="4" s="1"/>
  <c r="CR289" i="4" s="1"/>
  <c r="CR290" i="4" s="1"/>
  <c r="BM259" i="4"/>
  <c r="BL259" i="4"/>
  <c r="BK259" i="4"/>
  <c r="BJ259" i="4"/>
  <c r="BI259" i="4"/>
  <c r="BD259" i="4"/>
  <c r="BC259" i="4"/>
  <c r="BB259" i="4"/>
  <c r="AO259" i="4"/>
  <c r="AS259" i="4" s="1"/>
  <c r="CR275" i="4" s="1"/>
  <c r="CR276" i="4" s="1"/>
  <c r="CR277" i="4" s="1"/>
  <c r="CR278" i="4" s="1"/>
  <c r="BM258" i="4"/>
  <c r="BL258" i="4"/>
  <c r="BK258" i="4"/>
  <c r="BJ258" i="4"/>
  <c r="BI258" i="4"/>
  <c r="BD258" i="4"/>
  <c r="BC258" i="4"/>
  <c r="BB258" i="4"/>
  <c r="CF263" i="4" s="1"/>
  <c r="AO258" i="4"/>
  <c r="AS258" i="4" s="1"/>
  <c r="CR279" i="4" s="1"/>
  <c r="CR280" i="4" s="1"/>
  <c r="CR281" i="4" s="1"/>
  <c r="CR282" i="4" s="1"/>
  <c r="BM257" i="4"/>
  <c r="BL257" i="4"/>
  <c r="BK257" i="4"/>
  <c r="BJ257" i="4"/>
  <c r="BI257" i="4"/>
  <c r="BD257" i="4"/>
  <c r="BC257" i="4"/>
  <c r="BB257" i="4"/>
  <c r="CF261" i="4" s="1"/>
  <c r="AO257" i="4"/>
  <c r="AS257" i="4" s="1"/>
  <c r="CR283" i="4" s="1"/>
  <c r="CR284" i="4" s="1"/>
  <c r="CR285" i="4" s="1"/>
  <c r="CR286" i="4" s="1"/>
  <c r="BU256" i="4"/>
  <c r="BT256" i="4"/>
  <c r="BM256" i="4"/>
  <c r="CB257" i="4" s="1"/>
  <c r="BL256" i="4"/>
  <c r="CB256" i="4" s="1"/>
  <c r="BK256" i="4"/>
  <c r="BJ256" i="4"/>
  <c r="BI256" i="4"/>
  <c r="BD256" i="4"/>
  <c r="CB255" i="4" s="1"/>
  <c r="BC256" i="4"/>
  <c r="CB254" i="4" s="1"/>
  <c r="BB256" i="4"/>
  <c r="CB253" i="4" s="1"/>
  <c r="AQ256" i="4"/>
  <c r="AQ261" i="4" s="1"/>
  <c r="AP256" i="4"/>
  <c r="AP261" i="4" s="1"/>
  <c r="AO256" i="4"/>
  <c r="AO261" i="4" s="1"/>
  <c r="CS255" i="4"/>
  <c r="CS254" i="4"/>
  <c r="CI253" i="4"/>
  <c r="CH253" i="4"/>
  <c r="CF253" i="4"/>
  <c r="CI252" i="4"/>
  <c r="CH252" i="4"/>
  <c r="CF252" i="4"/>
  <c r="CI251" i="4"/>
  <c r="CH251" i="4"/>
  <c r="CF251" i="4"/>
  <c r="CI250" i="4"/>
  <c r="CH250" i="4"/>
  <c r="CF250" i="4"/>
  <c r="CI249" i="4"/>
  <c r="CH249" i="4"/>
  <c r="CF249" i="4"/>
  <c r="CI248" i="4"/>
  <c r="CH248" i="4"/>
  <c r="CF248" i="4"/>
  <c r="CI247" i="4"/>
  <c r="CH247" i="4"/>
  <c r="CF247" i="4"/>
  <c r="CI246" i="4"/>
  <c r="CH246" i="4"/>
  <c r="CF246" i="4"/>
  <c r="CI245" i="4"/>
  <c r="CH245" i="4"/>
  <c r="CF245" i="4"/>
  <c r="CI244" i="4"/>
  <c r="CH244" i="4"/>
  <c r="CF244" i="4"/>
  <c r="CI243" i="4"/>
  <c r="CH243" i="4"/>
  <c r="CF243" i="4"/>
  <c r="DK242" i="4"/>
  <c r="DK241" i="4"/>
  <c r="CF241" i="4"/>
  <c r="DK240" i="4"/>
  <c r="DK239" i="4"/>
  <c r="DK238" i="4"/>
  <c r="DK237" i="4"/>
  <c r="DK236" i="4"/>
  <c r="DK235" i="4"/>
  <c r="DK234" i="4"/>
  <c r="DK233" i="4"/>
  <c r="DK232" i="4"/>
  <c r="DK231" i="4"/>
  <c r="DK230" i="4"/>
  <c r="DK229" i="4"/>
  <c r="DK228" i="4"/>
  <c r="DK227" i="4"/>
  <c r="DK226" i="4"/>
  <c r="DK225" i="4"/>
  <c r="DK224" i="4"/>
  <c r="DK223" i="4"/>
  <c r="DK222" i="4"/>
  <c r="DK221" i="4"/>
  <c r="DK220" i="4"/>
  <c r="DK219" i="4"/>
  <c r="DK217" i="4"/>
  <c r="CK217" i="4"/>
  <c r="CF217" i="4"/>
  <c r="DK216" i="4"/>
  <c r="CK216" i="4"/>
  <c r="CF216" i="4"/>
  <c r="DK215" i="4"/>
  <c r="CK215" i="4"/>
  <c r="CF215" i="4"/>
  <c r="DK214" i="4"/>
  <c r="CK214" i="4"/>
  <c r="CF214" i="4"/>
  <c r="DK213" i="4"/>
  <c r="CK213" i="4"/>
  <c r="CF213" i="4"/>
  <c r="DK212" i="4"/>
  <c r="CK212" i="4"/>
  <c r="CF212" i="4"/>
  <c r="DK211" i="4"/>
  <c r="CP211" i="4"/>
  <c r="CK211" i="4"/>
  <c r="CF211" i="4"/>
  <c r="DK210" i="4"/>
  <c r="CP210" i="4"/>
  <c r="CK210" i="4"/>
  <c r="CF210" i="4"/>
  <c r="DK209" i="4"/>
  <c r="CP209" i="4"/>
  <c r="CK209" i="4"/>
  <c r="CF209" i="4"/>
  <c r="DK208" i="4"/>
  <c r="CP208" i="4"/>
  <c r="CK208" i="4"/>
  <c r="CF208" i="4"/>
  <c r="DK207" i="4"/>
  <c r="CP207" i="4"/>
  <c r="CK207" i="4"/>
  <c r="CF207" i="4"/>
  <c r="DK206" i="4"/>
  <c r="CP206" i="4"/>
  <c r="CK206" i="4"/>
  <c r="CF206" i="4"/>
  <c r="DK205" i="4"/>
  <c r="CF205" i="4"/>
  <c r="DK204" i="4"/>
  <c r="CK204" i="4"/>
  <c r="CF204" i="4"/>
  <c r="DK203" i="4"/>
  <c r="CK203" i="4"/>
  <c r="CF203" i="4"/>
  <c r="DK202" i="4"/>
  <c r="CP202" i="4"/>
  <c r="CK202" i="4"/>
  <c r="CF202" i="4"/>
  <c r="DK201" i="4"/>
  <c r="CP201" i="4"/>
  <c r="CK201" i="4"/>
  <c r="CF201" i="4"/>
  <c r="DK200" i="4"/>
  <c r="CP200" i="4"/>
  <c r="CK200" i="4"/>
  <c r="CF200" i="4"/>
  <c r="DK199" i="4"/>
  <c r="CK199" i="4"/>
  <c r="CB199" i="4"/>
  <c r="CF199" i="4" s="1"/>
  <c r="CA199" i="4"/>
  <c r="BZ199" i="4"/>
  <c r="BY199" i="4"/>
  <c r="BS199" i="4"/>
  <c r="BR199" i="4"/>
  <c r="DK198" i="4"/>
  <c r="CK198" i="4"/>
  <c r="CF198" i="4"/>
  <c r="CB198" i="4"/>
  <c r="CA198" i="4"/>
  <c r="BZ198" i="4"/>
  <c r="BY198" i="4"/>
  <c r="BX198" i="4"/>
  <c r="BS198" i="4"/>
  <c r="BR198" i="4"/>
  <c r="DK197" i="4"/>
  <c r="DK196" i="4"/>
  <c r="DK195" i="4"/>
  <c r="DK194" i="4"/>
  <c r="DK193" i="4"/>
  <c r="DK192" i="4"/>
  <c r="DK191" i="4"/>
  <c r="CF191" i="4"/>
  <c r="DK190" i="4"/>
  <c r="DK189" i="4"/>
  <c r="DK188" i="4"/>
  <c r="DK187" i="4"/>
  <c r="DK186" i="4"/>
  <c r="DK185" i="4"/>
  <c r="DK184" i="4"/>
  <c r="DK183" i="4"/>
  <c r="DK182" i="4"/>
  <c r="DK181" i="4"/>
  <c r="CF181" i="4"/>
  <c r="DK180" i="4"/>
  <c r="CF180" i="4"/>
  <c r="DK179" i="4"/>
  <c r="DK178" i="4"/>
  <c r="DK177" i="4"/>
  <c r="DK176" i="4"/>
  <c r="DK175" i="4"/>
  <c r="DJ175" i="4"/>
  <c r="DK174" i="4"/>
  <c r="DK173" i="4"/>
  <c r="DK172" i="4"/>
  <c r="DK171" i="4"/>
  <c r="DK170" i="4"/>
  <c r="CP169" i="4"/>
  <c r="CO169" i="4"/>
  <c r="CN169" i="4"/>
  <c r="CM169" i="4"/>
  <c r="CL169" i="4"/>
  <c r="CK169" i="4"/>
  <c r="CJ169" i="4"/>
  <c r="CI169" i="4"/>
  <c r="DK169" i="4" s="1"/>
  <c r="CH169" i="4"/>
  <c r="DJ169" i="4" s="1"/>
  <c r="CE169" i="4"/>
  <c r="CD169" i="4"/>
  <c r="CP168" i="4"/>
  <c r="CO168" i="4"/>
  <c r="CN168" i="4"/>
  <c r="CM168" i="4"/>
  <c r="CK168" i="4"/>
  <c r="CJ168" i="4"/>
  <c r="CI168" i="4"/>
  <c r="DK168" i="4" s="1"/>
  <c r="CH168" i="4"/>
  <c r="DJ168" i="4" s="1"/>
  <c r="CE168" i="4"/>
  <c r="CD168" i="4"/>
  <c r="CP167" i="4"/>
  <c r="CO167" i="4"/>
  <c r="CN167" i="4"/>
  <c r="CM167" i="4"/>
  <c r="CK167" i="4"/>
  <c r="CJ167" i="4"/>
  <c r="CI167" i="4"/>
  <c r="DK167" i="4" s="1"/>
  <c r="CH167" i="4"/>
  <c r="DJ167" i="4" s="1"/>
  <c r="CE167" i="4"/>
  <c r="CD167" i="4"/>
  <c r="CP166" i="4"/>
  <c r="CO166" i="4"/>
  <c r="CN166" i="4"/>
  <c r="CM166" i="4"/>
  <c r="CK166" i="4"/>
  <c r="CJ166" i="4"/>
  <c r="CI166" i="4"/>
  <c r="DK166" i="4" s="1"/>
  <c r="CH166" i="4"/>
  <c r="DJ166" i="4" s="1"/>
  <c r="CE166" i="4"/>
  <c r="CD166" i="4"/>
  <c r="CP165" i="4"/>
  <c r="CO165" i="4"/>
  <c r="CN165" i="4"/>
  <c r="CM165" i="4"/>
  <c r="CK165" i="4"/>
  <c r="CJ165" i="4"/>
  <c r="CI165" i="4"/>
  <c r="DK165" i="4" s="1"/>
  <c r="CH165" i="4"/>
  <c r="CF165" i="4"/>
  <c r="CE165" i="4"/>
  <c r="CD165" i="4"/>
  <c r="DK164" i="4"/>
  <c r="DK163" i="4"/>
  <c r="DK162" i="4"/>
  <c r="DJ162" i="4"/>
  <c r="DK161" i="4"/>
  <c r="DJ161" i="4"/>
  <c r="DK160" i="4"/>
  <c r="DJ160" i="4"/>
  <c r="DK159" i="4"/>
  <c r="DJ159" i="4"/>
  <c r="DK158" i="4"/>
  <c r="DJ158" i="4"/>
  <c r="DK157" i="4"/>
  <c r="DJ157" i="4"/>
  <c r="CF157" i="4"/>
  <c r="CF169" i="4" s="1"/>
  <c r="DK156" i="4"/>
  <c r="DJ156" i="4"/>
  <c r="CF156" i="4"/>
  <c r="DK155" i="4"/>
  <c r="DJ155" i="4"/>
  <c r="CF155" i="4"/>
  <c r="CF168" i="4" s="1"/>
  <c r="DK154" i="4"/>
  <c r="DJ154" i="4"/>
  <c r="CF154" i="4"/>
  <c r="CF167" i="4" s="1"/>
  <c r="DK153" i="4"/>
  <c r="DJ153" i="4"/>
  <c r="CF153" i="4"/>
  <c r="CF166" i="4" s="1"/>
  <c r="DK152" i="4"/>
  <c r="DJ152" i="4"/>
  <c r="CF152" i="4"/>
  <c r="DK151" i="4"/>
  <c r="DJ151" i="4"/>
  <c r="DK150" i="4"/>
  <c r="DJ150" i="4"/>
  <c r="DK149" i="4"/>
  <c r="DJ149" i="4"/>
  <c r="DK148" i="4"/>
  <c r="DJ148" i="4"/>
  <c r="DK147" i="4"/>
  <c r="DJ147" i="4"/>
  <c r="DK146" i="4"/>
  <c r="DJ146" i="4"/>
  <c r="DK145" i="4"/>
  <c r="DJ145" i="4"/>
  <c r="DK144" i="4"/>
  <c r="DJ144" i="4"/>
  <c r="DK143" i="4"/>
  <c r="DJ143" i="4"/>
  <c r="DK142" i="4"/>
  <c r="DJ142" i="4"/>
  <c r="DK141" i="4"/>
  <c r="DJ141" i="4"/>
  <c r="DD141" i="4"/>
  <c r="CX141" i="4"/>
  <c r="CR141" i="4"/>
  <c r="CL141" i="4"/>
  <c r="DK140" i="4"/>
  <c r="DJ140" i="4"/>
  <c r="DD140" i="4"/>
  <c r="CX140" i="4"/>
  <c r="CR140" i="4"/>
  <c r="CL140" i="4"/>
  <c r="CF140" i="4"/>
  <c r="DK139" i="4"/>
  <c r="DJ139" i="4"/>
  <c r="DD139" i="4"/>
  <c r="CX139" i="4"/>
  <c r="CR139" i="4"/>
  <c r="CL139" i="4"/>
  <c r="CF139" i="4"/>
  <c r="DK138" i="4"/>
  <c r="DJ138" i="4"/>
  <c r="DD138" i="4"/>
  <c r="CX138" i="4"/>
  <c r="CR138" i="4"/>
  <c r="CL138" i="4"/>
  <c r="CF138" i="4"/>
  <c r="DK137" i="4"/>
  <c r="DJ137" i="4"/>
  <c r="DI137" i="4"/>
  <c r="DD137" i="4"/>
  <c r="CX137" i="4"/>
  <c r="CR137" i="4"/>
  <c r="CL137" i="4"/>
  <c r="DK136" i="4"/>
  <c r="DJ136" i="4"/>
  <c r="DK135" i="4"/>
  <c r="DJ135" i="4"/>
  <c r="DK134" i="4"/>
  <c r="DJ134" i="4"/>
  <c r="DK133" i="4"/>
  <c r="DJ133" i="4"/>
  <c r="DK132" i="4"/>
  <c r="DJ132" i="4"/>
  <c r="DC132" i="4"/>
  <c r="DD132" i="4" s="1"/>
  <c r="CW132" i="4"/>
  <c r="CX132" i="4" s="1"/>
  <c r="CQ132" i="4"/>
  <c r="CR132" i="4" s="1"/>
  <c r="CK132" i="4"/>
  <c r="CL132" i="4" s="1"/>
  <c r="CF132" i="4"/>
  <c r="DK131" i="4"/>
  <c r="DJ131" i="4"/>
  <c r="DC131" i="4"/>
  <c r="DD131" i="4" s="1"/>
  <c r="CW131" i="4"/>
  <c r="CX131" i="4" s="1"/>
  <c r="CQ131" i="4"/>
  <c r="CR131" i="4" s="1"/>
  <c r="CK131" i="4"/>
  <c r="CL131" i="4" s="1"/>
  <c r="CF131" i="4"/>
  <c r="DK130" i="4"/>
  <c r="DJ130" i="4"/>
  <c r="DC130" i="4"/>
  <c r="DD130" i="4" s="1"/>
  <c r="CW130" i="4"/>
  <c r="CX130" i="4" s="1"/>
  <c r="CQ130" i="4"/>
  <c r="CR130" i="4" s="1"/>
  <c r="CK130" i="4"/>
  <c r="CL130" i="4" s="1"/>
  <c r="CF130" i="4"/>
  <c r="DK129" i="4"/>
  <c r="DJ129" i="4"/>
  <c r="DC129" i="4"/>
  <c r="DD129" i="4" s="1"/>
  <c r="CW129" i="4"/>
  <c r="CX129" i="4" s="1"/>
  <c r="CQ129" i="4"/>
  <c r="CR129" i="4" s="1"/>
  <c r="CK129" i="4"/>
  <c r="CL129" i="4" s="1"/>
  <c r="CF129" i="4"/>
  <c r="DK128" i="4"/>
  <c r="DJ128" i="4"/>
  <c r="DC128" i="4"/>
  <c r="DD128" i="4" s="1"/>
  <c r="CW128" i="4"/>
  <c r="CX128" i="4" s="1"/>
  <c r="CQ128" i="4"/>
  <c r="CR128" i="4" s="1"/>
  <c r="CK128" i="4"/>
  <c r="CL128" i="4" s="1"/>
  <c r="CF128" i="4"/>
  <c r="DK127" i="4"/>
  <c r="DJ127" i="4"/>
  <c r="DC127" i="4"/>
  <c r="DD127" i="4" s="1"/>
  <c r="CW127" i="4"/>
  <c r="CX127" i="4" s="1"/>
  <c r="CQ127" i="4"/>
  <c r="CR127" i="4" s="1"/>
  <c r="CK127" i="4"/>
  <c r="CL127" i="4" s="1"/>
  <c r="CF127" i="4"/>
  <c r="DK126" i="4"/>
  <c r="DJ126" i="4"/>
  <c r="DC126" i="4"/>
  <c r="DD126" i="4" s="1"/>
  <c r="CW126" i="4"/>
  <c r="CX126" i="4" s="1"/>
  <c r="CQ126" i="4"/>
  <c r="CR126" i="4" s="1"/>
  <c r="CK126" i="4"/>
  <c r="CL126" i="4" s="1"/>
  <c r="CF126" i="4"/>
  <c r="DK125" i="4"/>
  <c r="DJ125" i="4"/>
  <c r="DK124" i="4"/>
  <c r="DJ124" i="4"/>
  <c r="DK123" i="4"/>
  <c r="DJ123" i="4"/>
  <c r="DK122" i="4"/>
  <c r="DJ122" i="4"/>
  <c r="DK121" i="4"/>
  <c r="DJ121" i="4"/>
  <c r="DI121" i="4"/>
  <c r="DD121" i="4"/>
  <c r="CX121" i="4"/>
  <c r="CR121" i="4"/>
  <c r="CL121" i="4"/>
  <c r="DK120" i="4"/>
  <c r="DJ120" i="4"/>
  <c r="DI120" i="4"/>
  <c r="DD120" i="4"/>
  <c r="CX120" i="4"/>
  <c r="CR120" i="4"/>
  <c r="CL120" i="4"/>
  <c r="DK119" i="4"/>
  <c r="DJ119" i="4"/>
  <c r="DI119" i="4"/>
  <c r="DD119" i="4"/>
  <c r="CX119" i="4"/>
  <c r="CR119" i="4"/>
  <c r="CL119" i="4"/>
  <c r="DK118" i="4"/>
  <c r="DJ118" i="4"/>
  <c r="DD118" i="4"/>
  <c r="CX118" i="4"/>
  <c r="CR118" i="4"/>
  <c r="CL118" i="4"/>
  <c r="CF118" i="4"/>
  <c r="DK117" i="4"/>
  <c r="DJ117" i="4"/>
  <c r="DD117" i="4"/>
  <c r="CX117" i="4"/>
  <c r="CQ117" i="4"/>
  <c r="CR117" i="4" s="1"/>
  <c r="CK117" i="4"/>
  <c r="CL117" i="4" s="1"/>
  <c r="CF117" i="4"/>
  <c r="DK116" i="4"/>
  <c r="DJ116" i="4"/>
  <c r="DD116" i="4"/>
  <c r="CX116" i="4"/>
  <c r="CR116" i="4"/>
  <c r="CL116" i="4"/>
  <c r="CF116" i="4"/>
  <c r="CC98" i="4"/>
  <c r="CC97" i="4"/>
  <c r="BX96" i="4"/>
  <c r="BY96" i="4" s="1"/>
  <c r="BZ96" i="4" s="1"/>
  <c r="BI96" i="4"/>
  <c r="BJ96" i="4" s="1"/>
  <c r="BB96" i="4"/>
  <c r="BZ95" i="4"/>
  <c r="BK95" i="4"/>
  <c r="BD95" i="4"/>
  <c r="T95" i="4"/>
  <c r="S95" i="4"/>
  <c r="AL95" i="4" s="1"/>
  <c r="CC92" i="4"/>
  <c r="CC91" i="4"/>
  <c r="G7" i="7"/>
  <c r="F7" i="7"/>
  <c r="BZ62" i="4"/>
  <c r="T62" i="4"/>
  <c r="S62" i="4"/>
  <c r="BI62" i="4" s="1"/>
  <c r="BZ61" i="4"/>
  <c r="T61" i="4"/>
  <c r="S61" i="4"/>
  <c r="BI61" i="4" s="1"/>
  <c r="BZ60" i="4"/>
  <c r="T60" i="4"/>
  <c r="S60" i="4"/>
  <c r="BP60" i="4" s="1"/>
  <c r="BX59" i="4"/>
  <c r="BZ58" i="4"/>
  <c r="T58" i="4"/>
  <c r="S58" i="4"/>
  <c r="AD58" i="4" s="1"/>
  <c r="BZ57" i="4"/>
  <c r="T57" i="4"/>
  <c r="S57" i="4"/>
  <c r="BP57" i="4" s="1"/>
  <c r="BZ56" i="4"/>
  <c r="T56" i="4"/>
  <c r="S56" i="4"/>
  <c r="BG56" i="4" s="1"/>
  <c r="BZ55" i="4"/>
  <c r="T55" i="4"/>
  <c r="S55" i="4"/>
  <c r="BP55" i="4" s="1"/>
  <c r="BZ54" i="4"/>
  <c r="T54" i="4"/>
  <c r="S54" i="4"/>
  <c r="AL54" i="4" s="1"/>
  <c r="BZ53" i="4"/>
  <c r="T53" i="4"/>
  <c r="S53" i="4"/>
  <c r="AL53" i="4" s="1"/>
  <c r="BX47" i="4"/>
  <c r="BY47" i="4" s="1"/>
  <c r="BZ47" i="4" s="1"/>
  <c r="BZ46" i="4"/>
  <c r="T46" i="4"/>
  <c r="S46" i="4"/>
  <c r="AZ46" i="4" s="1"/>
  <c r="BZ45" i="4"/>
  <c r="T45" i="4"/>
  <c r="S45" i="4"/>
  <c r="BP45" i="4" s="1"/>
  <c r="T43" i="4"/>
  <c r="S43" i="4"/>
  <c r="BP43" i="4" s="1"/>
  <c r="T42" i="4"/>
  <c r="S42" i="4"/>
  <c r="BB42" i="4" s="1"/>
  <c r="T41" i="4"/>
  <c r="S41" i="4"/>
  <c r="BW41" i="4" s="1"/>
  <c r="T40" i="4"/>
  <c r="S40" i="4"/>
  <c r="AJ40" i="4" s="1"/>
  <c r="T39" i="4"/>
  <c r="S39" i="4"/>
  <c r="BI39" i="4" s="1"/>
  <c r="T38" i="4"/>
  <c r="S38" i="4"/>
  <c r="BV38" i="4" s="1"/>
  <c r="T37" i="4"/>
  <c r="S37" i="4"/>
  <c r="AC37" i="4" s="1"/>
  <c r="T36" i="4"/>
  <c r="S36" i="4"/>
  <c r="AR36" i="4" s="1"/>
  <c r="T35" i="4"/>
  <c r="S35" i="4"/>
  <c r="BW35" i="4" s="1"/>
  <c r="T34" i="4"/>
  <c r="S34" i="4"/>
  <c r="BB34" i="4" s="1"/>
  <c r="T33" i="4"/>
  <c r="S33" i="4"/>
  <c r="AR33" i="4" s="1"/>
  <c r="BX27" i="4"/>
  <c r="BY27" i="4" s="1"/>
  <c r="BZ27" i="4" s="1"/>
  <c r="BZ26" i="4"/>
  <c r="S26" i="4"/>
  <c r="BG26" i="4" s="1"/>
  <c r="BZ25" i="4"/>
  <c r="S25" i="4"/>
  <c r="AB25" i="4" s="1"/>
  <c r="S23" i="4"/>
  <c r="AR23" i="4" s="1"/>
  <c r="S22" i="4"/>
  <c r="BB22" i="4" s="1"/>
  <c r="BC22" i="4" s="1"/>
  <c r="S21" i="4"/>
  <c r="AR21" i="4" s="1"/>
  <c r="S19" i="4"/>
  <c r="BI19" i="4" s="1"/>
  <c r="S18" i="4"/>
  <c r="BI18" i="4" s="1"/>
  <c r="BJ18" i="4" s="1"/>
  <c r="BK18" i="4" s="1"/>
  <c r="S17" i="4"/>
  <c r="BB17" i="4" s="1"/>
  <c r="BC17" i="4" s="1"/>
  <c r="S16" i="4"/>
  <c r="AR16" i="4" s="1"/>
  <c r="F20" i="4" l="1"/>
  <c r="AH20" i="4"/>
  <c r="AL20" i="4" s="1"/>
  <c r="Z20" i="4"/>
  <c r="AD20" i="4" s="1"/>
  <c r="AA20" i="4"/>
  <c r="BT20" i="4"/>
  <c r="BX20" i="4" s="1"/>
  <c r="AI20" i="4"/>
  <c r="AP20" i="4"/>
  <c r="AT20" i="4" s="1"/>
  <c r="AQ20" i="4"/>
  <c r="BU20" i="4"/>
  <c r="Y20" i="4"/>
  <c r="Z78" i="4"/>
  <c r="Y16" i="4"/>
  <c r="BM67" i="4"/>
  <c r="AH70" i="4"/>
  <c r="AL70" i="4" s="1"/>
  <c r="BL67" i="4"/>
  <c r="BP67" i="4" s="1"/>
  <c r="F65" i="4"/>
  <c r="AQ70" i="4"/>
  <c r="F69" i="4"/>
  <c r="AI65" i="4"/>
  <c r="AI71" i="4"/>
  <c r="Y67" i="4"/>
  <c r="F66" i="4"/>
  <c r="AH65" i="4"/>
  <c r="AL65" i="4" s="1"/>
  <c r="AH71" i="4"/>
  <c r="AL71" i="4" s="1"/>
  <c r="F70" i="4"/>
  <c r="AP70" i="4"/>
  <c r="AT70" i="4" s="1"/>
  <c r="AQ68" i="4"/>
  <c r="AH69" i="4"/>
  <c r="AL69" i="4" s="1"/>
  <c r="AP68" i="4"/>
  <c r="AT68" i="4" s="1"/>
  <c r="AA66" i="4"/>
  <c r="F71" i="4"/>
  <c r="AI68" i="4"/>
  <c r="F67" i="4"/>
  <c r="AQ69" i="4"/>
  <c r="AH68" i="4"/>
  <c r="AL68" i="4" s="1"/>
  <c r="AP69" i="4"/>
  <c r="AT69" i="4" s="1"/>
  <c r="Y68" i="4"/>
  <c r="F68" i="4"/>
  <c r="Z66" i="4"/>
  <c r="AD66" i="4" s="1"/>
  <c r="AI69" i="4"/>
  <c r="AI70" i="4"/>
  <c r="Y65" i="4"/>
  <c r="Y71" i="4"/>
  <c r="Y70" i="4"/>
  <c r="Y66" i="4"/>
  <c r="Y69" i="4"/>
  <c r="U56" i="4"/>
  <c r="V56" i="4"/>
  <c r="W56" i="4"/>
  <c r="Y56" i="4"/>
  <c r="U62" i="4"/>
  <c r="V62" i="4"/>
  <c r="W62" i="4"/>
  <c r="Y62" i="4"/>
  <c r="Y23" i="4"/>
  <c r="Y19" i="4"/>
  <c r="Y26" i="4"/>
  <c r="Y22" i="4"/>
  <c r="Y21" i="4"/>
  <c r="Y18" i="4"/>
  <c r="Y25" i="4"/>
  <c r="Y17" i="4"/>
  <c r="Y57" i="4"/>
  <c r="W57" i="4"/>
  <c r="U57" i="4"/>
  <c r="V57" i="4"/>
  <c r="U36" i="4"/>
  <c r="V36" i="4"/>
  <c r="W36" i="4"/>
  <c r="Y36" i="4"/>
  <c r="U58" i="4"/>
  <c r="V58" i="4"/>
  <c r="W58" i="4"/>
  <c r="Y58" i="4"/>
  <c r="U35" i="4"/>
  <c r="V35" i="4"/>
  <c r="W35" i="4"/>
  <c r="Y35" i="4"/>
  <c r="U45" i="4"/>
  <c r="V45" i="4"/>
  <c r="W45" i="4"/>
  <c r="Y45" i="4"/>
  <c r="U46" i="4"/>
  <c r="V46" i="4"/>
  <c r="W46" i="4"/>
  <c r="Y46" i="4"/>
  <c r="U39" i="4"/>
  <c r="V39" i="4"/>
  <c r="W39" i="4"/>
  <c r="Y39" i="4"/>
  <c r="Y53" i="4"/>
  <c r="W53" i="4"/>
  <c r="U53" i="4"/>
  <c r="V53" i="4"/>
  <c r="U55" i="4"/>
  <c r="V55" i="4"/>
  <c r="W55" i="4"/>
  <c r="Y55" i="4"/>
  <c r="U43" i="4"/>
  <c r="V43" i="4"/>
  <c r="W43" i="4"/>
  <c r="Y43" i="4"/>
  <c r="U40" i="4"/>
  <c r="V40" i="4"/>
  <c r="W40" i="4"/>
  <c r="Y40" i="4"/>
  <c r="U37" i="4"/>
  <c r="V37" i="4"/>
  <c r="W37" i="4"/>
  <c r="Y37" i="4"/>
  <c r="Y38" i="4"/>
  <c r="W38" i="4"/>
  <c r="U38" i="4"/>
  <c r="V38" i="4"/>
  <c r="U33" i="4"/>
  <c r="V33" i="4"/>
  <c r="W33" i="4"/>
  <c r="Y33" i="4"/>
  <c r="U41" i="4"/>
  <c r="V41" i="4"/>
  <c r="W41" i="4"/>
  <c r="Y41" i="4"/>
  <c r="U54" i="4"/>
  <c r="V54" i="4"/>
  <c r="W54" i="4"/>
  <c r="Y54" i="4"/>
  <c r="U95" i="4"/>
  <c r="V95" i="4"/>
  <c r="W95" i="4"/>
  <c r="Y95" i="4"/>
  <c r="U61" i="4"/>
  <c r="V61" i="4"/>
  <c r="W61" i="4"/>
  <c r="Y61" i="4"/>
  <c r="Y34" i="4"/>
  <c r="W34" i="4"/>
  <c r="U34" i="4"/>
  <c r="V34" i="4"/>
  <c r="Y42" i="4"/>
  <c r="W42" i="4"/>
  <c r="U42" i="4"/>
  <c r="V42" i="4"/>
  <c r="U60" i="4"/>
  <c r="V60" i="4"/>
  <c r="W60" i="4"/>
  <c r="Y60" i="4"/>
  <c r="Z79" i="4"/>
  <c r="AB79" i="4" s="1"/>
  <c r="Z83" i="4"/>
  <c r="AB83" i="4" s="1"/>
  <c r="AC83" i="4" s="1"/>
  <c r="AD83" i="4" s="1"/>
  <c r="AE83" i="4" s="1"/>
  <c r="CA83" i="4" s="1"/>
  <c r="Z82" i="4"/>
  <c r="AB80" i="4"/>
  <c r="AC80" i="4" s="1"/>
  <c r="BP61" i="4"/>
  <c r="BQ61" i="4" s="1"/>
  <c r="F95" i="4"/>
  <c r="EF345" i="4"/>
  <c r="DU345" i="4" s="1"/>
  <c r="AH23" i="4"/>
  <c r="AL23" i="4" s="1"/>
  <c r="AN23" i="4" s="1"/>
  <c r="BH56" i="4"/>
  <c r="AC16" i="4"/>
  <c r="AI16" i="4"/>
  <c r="AR35" i="4"/>
  <c r="BI23" i="4"/>
  <c r="BJ23" i="4" s="1"/>
  <c r="BK23" i="4" s="1"/>
  <c r="BA46" i="4"/>
  <c r="BG46" i="4"/>
  <c r="BW17" i="4"/>
  <c r="BH46" i="4"/>
  <c r="BI25" i="4"/>
  <c r="BJ25" i="4" s="1"/>
  <c r="BK25" i="4" s="1"/>
  <c r="BY59" i="4"/>
  <c r="BZ59" i="4" s="1"/>
  <c r="BV37" i="4"/>
  <c r="BI16" i="4"/>
  <c r="AL26" i="4"/>
  <c r="BV16" i="4"/>
  <c r="BV21" i="4"/>
  <c r="BP36" i="4"/>
  <c r="BQ36" i="4" s="1"/>
  <c r="BI46" i="4"/>
  <c r="BJ46" i="4" s="1"/>
  <c r="BK46" i="4" s="1"/>
  <c r="ED339" i="4"/>
  <c r="AA18" i="4"/>
  <c r="AZ26" i="4"/>
  <c r="BW39" i="4"/>
  <c r="AH42" i="4"/>
  <c r="AL42" i="4" s="1"/>
  <c r="BP46" i="4"/>
  <c r="BQ46" i="4" s="1"/>
  <c r="AL62" i="4"/>
  <c r="AN62" i="4" s="1"/>
  <c r="AT25" i="4"/>
  <c r="AV25" i="4" s="1"/>
  <c r="BI26" i="4"/>
  <c r="BJ26" i="4" s="1"/>
  <c r="BK26" i="4" s="1"/>
  <c r="AT58" i="4"/>
  <c r="AU58" i="4" s="1"/>
  <c r="AT62" i="4"/>
  <c r="AV62" i="4" s="1"/>
  <c r="ED340" i="4"/>
  <c r="BT22" i="4"/>
  <c r="BX22" i="4" s="1"/>
  <c r="BP26" i="4"/>
  <c r="BQ26" i="4" s="1"/>
  <c r="BF56" i="4"/>
  <c r="AZ57" i="4"/>
  <c r="BH58" i="4"/>
  <c r="AY62" i="4"/>
  <c r="AA17" i="4"/>
  <c r="AI19" i="4"/>
  <c r="AC35" i="4"/>
  <c r="AD46" i="4"/>
  <c r="AF46" i="4" s="1"/>
  <c r="AK16" i="4"/>
  <c r="AS16" i="4"/>
  <c r="BP18" i="4"/>
  <c r="BQ18" i="4" s="1"/>
  <c r="BI21" i="4"/>
  <c r="BJ21" i="4" s="1"/>
  <c r="BK21" i="4" s="1"/>
  <c r="BB23" i="4"/>
  <c r="BC23" i="4" s="1"/>
  <c r="BD23" i="4" s="1"/>
  <c r="AC25" i="4"/>
  <c r="AD26" i="4"/>
  <c r="AF26" i="4" s="1"/>
  <c r="BH26" i="4"/>
  <c r="AS33" i="4"/>
  <c r="BV35" i="4"/>
  <c r="BI36" i="4"/>
  <c r="BJ36" i="4" s="1"/>
  <c r="AR37" i="4"/>
  <c r="BV39" i="4"/>
  <c r="AR40" i="4"/>
  <c r="BI42" i="4"/>
  <c r="BJ42" i="4" s="1"/>
  <c r="BK42" i="4" s="1"/>
  <c r="AT56" i="4"/>
  <c r="AV56" i="4" s="1"/>
  <c r="BG61" i="4"/>
  <c r="AD62" i="4"/>
  <c r="AF62" i="4" s="1"/>
  <c r="EB316" i="4"/>
  <c r="ED316" i="4" s="1"/>
  <c r="BV18" i="4"/>
  <c r="BI33" i="4"/>
  <c r="BJ33" i="4" s="1"/>
  <c r="BK33" i="4" s="1"/>
  <c r="BV42" i="4"/>
  <c r="BH61" i="4"/>
  <c r="BW38" i="4"/>
  <c r="BP23" i="4"/>
  <c r="BV33" i="4"/>
  <c r="BW18" i="4"/>
  <c r="BW21" i="4"/>
  <c r="BV36" i="4"/>
  <c r="BP56" i="4"/>
  <c r="AC23" i="4"/>
  <c r="BV23" i="4"/>
  <c r="AT26" i="4"/>
  <c r="AV26" i="4" s="1"/>
  <c r="BW33" i="4"/>
  <c r="AJ35" i="4"/>
  <c r="BW36" i="4"/>
  <c r="BB45" i="4"/>
  <c r="BC45" i="4" s="1"/>
  <c r="BD45" i="4" s="1"/>
  <c r="AL46" i="4"/>
  <c r="AD54" i="4"/>
  <c r="AZ58" i="4"/>
  <c r="AD61" i="4"/>
  <c r="BA62" i="4"/>
  <c r="BW23" i="4"/>
  <c r="AC36" i="4"/>
  <c r="AL61" i="4"/>
  <c r="AN61" i="4" s="1"/>
  <c r="BG62" i="4"/>
  <c r="AK21" i="4"/>
  <c r="AK23" i="4"/>
  <c r="BA26" i="4"/>
  <c r="AC33" i="4"/>
  <c r="AS35" i="4"/>
  <c r="AK36" i="4"/>
  <c r="BB38" i="4"/>
  <c r="AB40" i="4"/>
  <c r="BP41" i="4"/>
  <c r="AR42" i="4"/>
  <c r="AT46" i="4"/>
  <c r="AV46" i="4" s="1"/>
  <c r="AT54" i="4"/>
  <c r="AV54" i="4" s="1"/>
  <c r="BG55" i="4"/>
  <c r="AD56" i="4"/>
  <c r="BP58" i="4"/>
  <c r="AT61" i="4"/>
  <c r="AU61" i="4" s="1"/>
  <c r="BH62" i="4"/>
  <c r="CF260" i="4"/>
  <c r="AC21" i="4"/>
  <c r="AS21" i="4"/>
  <c r="AS23" i="4"/>
  <c r="AK33" i="4"/>
  <c r="BI35" i="4"/>
  <c r="AS36" i="4"/>
  <c r="BP38" i="4"/>
  <c r="BH54" i="4"/>
  <c r="BA61" i="4"/>
  <c r="BP62" i="4"/>
  <c r="ED341" i="4"/>
  <c r="EE318" i="4"/>
  <c r="AH17" i="4"/>
  <c r="AL17" i="4" s="1"/>
  <c r="F18" i="4"/>
  <c r="AH18" i="4"/>
  <c r="AL18" i="4" s="1"/>
  <c r="AN18" i="4" s="1"/>
  <c r="AP19" i="4"/>
  <c r="AT19" i="4" s="1"/>
  <c r="F21" i="4"/>
  <c r="AH21" i="4"/>
  <c r="AL21" i="4" s="1"/>
  <c r="AN21" i="4" s="1"/>
  <c r="BT21" i="4"/>
  <c r="BX21" i="4" s="1"/>
  <c r="BU22" i="4"/>
  <c r="AI23" i="4"/>
  <c r="BF26" i="4"/>
  <c r="AI36" i="4"/>
  <c r="BT38" i="4"/>
  <c r="BX38" i="4" s="1"/>
  <c r="BY38" i="4" s="1"/>
  <c r="BZ38" i="4" s="1"/>
  <c r="AI39" i="4"/>
  <c r="AA40" i="4"/>
  <c r="BU41" i="4"/>
  <c r="BF53" i="4"/>
  <c r="ED327" i="4"/>
  <c r="ED338" i="4"/>
  <c r="AP16" i="4"/>
  <c r="AT16" i="4" s="1"/>
  <c r="AU16" i="4" s="1"/>
  <c r="AI17" i="4"/>
  <c r="AI18" i="4"/>
  <c r="F19" i="4"/>
  <c r="AQ19" i="4"/>
  <c r="AI21" i="4"/>
  <c r="BU21" i="4"/>
  <c r="F23" i="4"/>
  <c r="BT23" i="4"/>
  <c r="BX23" i="4" s="1"/>
  <c r="BY23" i="4" s="1"/>
  <c r="BZ23" i="4" s="1"/>
  <c r="BT39" i="4"/>
  <c r="BX39" i="4" s="1"/>
  <c r="F42" i="4"/>
  <c r="AQ60" i="4"/>
  <c r="BF62" i="4"/>
  <c r="CF316" i="4"/>
  <c r="CK327" i="4"/>
  <c r="F16" i="4"/>
  <c r="AQ16" i="4"/>
  <c r="AP17" i="4"/>
  <c r="AT17" i="4" s="1"/>
  <c r="AP18" i="4"/>
  <c r="AT18" i="4" s="1"/>
  <c r="AU18" i="4" s="1"/>
  <c r="BT19" i="4"/>
  <c r="BX19" i="4" s="1"/>
  <c r="AA22" i="4"/>
  <c r="AP23" i="4"/>
  <c r="AT23" i="4" s="1"/>
  <c r="AV23" i="4" s="1"/>
  <c r="F34" i="4"/>
  <c r="AA38" i="4"/>
  <c r="F39" i="4"/>
  <c r="F54" i="4"/>
  <c r="AY58" i="4"/>
  <c r="AY60" i="4"/>
  <c r="BP259" i="4"/>
  <c r="BU259" i="4" s="1"/>
  <c r="BP260" i="4"/>
  <c r="BT260" i="4" s="1"/>
  <c r="BP261" i="4"/>
  <c r="BU261" i="4" s="1"/>
  <c r="CF262" i="4"/>
  <c r="EE323" i="4"/>
  <c r="F17" i="4"/>
  <c r="Z16" i="4"/>
  <c r="AD16" i="4" s="1"/>
  <c r="AE16" i="4" s="1"/>
  <c r="AQ17" i="4"/>
  <c r="AQ18" i="4"/>
  <c r="BU19" i="4"/>
  <c r="AP21" i="4"/>
  <c r="AT21" i="4" s="1"/>
  <c r="AV21" i="4" s="1"/>
  <c r="AH22" i="4"/>
  <c r="AL22" i="4" s="1"/>
  <c r="AQ23" i="4"/>
  <c r="F26" i="4"/>
  <c r="AH37" i="4"/>
  <c r="AL37" i="4" s="1"/>
  <c r="AN37" i="4" s="1"/>
  <c r="AI38" i="4"/>
  <c r="AQ40" i="4"/>
  <c r="BU42" i="4"/>
  <c r="AP43" i="4"/>
  <c r="AT43" i="4" s="1"/>
  <c r="BF55" i="4"/>
  <c r="F60" i="4"/>
  <c r="BF61" i="4"/>
  <c r="CK332" i="4"/>
  <c r="EC338" i="4"/>
  <c r="EE338" i="4" s="1"/>
  <c r="EF347" i="4"/>
  <c r="AQ21" i="4"/>
  <c r="F22" i="4"/>
  <c r="AI22" i="4"/>
  <c r="AP33" i="4"/>
  <c r="AT33" i="4" s="1"/>
  <c r="AU33" i="4" s="1"/>
  <c r="AQ41" i="4"/>
  <c r="CK321" i="4"/>
  <c r="BT18" i="4"/>
  <c r="BX18" i="4" s="1"/>
  <c r="BY18" i="4" s="1"/>
  <c r="BZ18" i="4" s="1"/>
  <c r="AA19" i="4"/>
  <c r="AP22" i="4"/>
  <c r="AT22" i="4" s="1"/>
  <c r="AI34" i="4"/>
  <c r="BT40" i="4"/>
  <c r="BX40" i="4" s="1"/>
  <c r="AY46" i="4"/>
  <c r="F55" i="4"/>
  <c r="AA16" i="4"/>
  <c r="BT16" i="4"/>
  <c r="BX16" i="4" s="1"/>
  <c r="BT17" i="4"/>
  <c r="BX17" i="4" s="1"/>
  <c r="BY17" i="4" s="1"/>
  <c r="AH16" i="4"/>
  <c r="AL16" i="4" s="1"/>
  <c r="BU16" i="4"/>
  <c r="BU17" i="4"/>
  <c r="BU18" i="4"/>
  <c r="AH19" i="4"/>
  <c r="AL19" i="4" s="1"/>
  <c r="AA21" i="4"/>
  <c r="AQ22" i="4"/>
  <c r="AQ34" i="4"/>
  <c r="AQ35" i="4"/>
  <c r="EB337" i="4"/>
  <c r="ED337" i="4" s="1"/>
  <c r="EC337" i="4"/>
  <c r="EE337" i="4" s="1"/>
  <c r="EC341" i="4"/>
  <c r="EE341" i="4" s="1"/>
  <c r="EE342" i="4"/>
  <c r="EE316" i="4"/>
  <c r="F58" i="4"/>
  <c r="AQ43" i="4"/>
  <c r="BT42" i="4"/>
  <c r="BX42" i="4" s="1"/>
  <c r="AA42" i="4"/>
  <c r="AP41" i="4"/>
  <c r="AT41" i="4" s="1"/>
  <c r="AV41" i="4" s="1"/>
  <c r="BU39" i="4"/>
  <c r="AH39" i="4"/>
  <c r="AL39" i="4" s="1"/>
  <c r="AH38" i="4"/>
  <c r="AL38" i="4" s="1"/>
  <c r="F38" i="4"/>
  <c r="AI37" i="4"/>
  <c r="F37" i="4"/>
  <c r="AH36" i="4"/>
  <c r="AL36" i="4" s="1"/>
  <c r="AN36" i="4" s="1"/>
  <c r="F36" i="4"/>
  <c r="AP35" i="4"/>
  <c r="AT35" i="4" s="1"/>
  <c r="AP34" i="4"/>
  <c r="AT34" i="4" s="1"/>
  <c r="AQ33" i="4"/>
  <c r="AA33" i="4"/>
  <c r="F62" i="4"/>
  <c r="AY55" i="4"/>
  <c r="AY53" i="4"/>
  <c r="BT41" i="4"/>
  <c r="BX41" i="4" s="1"/>
  <c r="BY41" i="4" s="1"/>
  <c r="BZ41" i="4" s="1"/>
  <c r="AI41" i="4"/>
  <c r="AP40" i="4"/>
  <c r="AT40" i="4" s="1"/>
  <c r="AA39" i="4"/>
  <c r="BU37" i="4"/>
  <c r="AA36" i="4"/>
  <c r="BU35" i="4"/>
  <c r="AI35" i="4"/>
  <c r="AH34" i="4"/>
  <c r="AL34" i="4" s="1"/>
  <c r="BU33" i="4"/>
  <c r="F25" i="4"/>
  <c r="AA23" i="4"/>
  <c r="AY61" i="4"/>
  <c r="BF57" i="4"/>
  <c r="AY56" i="4"/>
  <c r="AX53" i="4"/>
  <c r="BB53" i="4" s="1"/>
  <c r="F53" i="4"/>
  <c r="BF46" i="4"/>
  <c r="F46" i="4"/>
  <c r="AI43" i="4"/>
  <c r="AH41" i="4"/>
  <c r="AL41" i="4" s="1"/>
  <c r="AN41" i="4" s="1"/>
  <c r="AQ39" i="4"/>
  <c r="BT37" i="4"/>
  <c r="BX37" i="4" s="1"/>
  <c r="AQ36" i="4"/>
  <c r="BT35" i="4"/>
  <c r="BX35" i="4" s="1"/>
  <c r="BY35" i="4" s="1"/>
  <c r="BZ35" i="4" s="1"/>
  <c r="AH35" i="4"/>
  <c r="AL35" i="4" s="1"/>
  <c r="AM35" i="4" s="1"/>
  <c r="AA34" i="4"/>
  <c r="BT33" i="4"/>
  <c r="BX33" i="4" s="1"/>
  <c r="F61" i="4"/>
  <c r="F57" i="4"/>
  <c r="BF54" i="4"/>
  <c r="AQ53" i="4"/>
  <c r="F45" i="4"/>
  <c r="AH43" i="4"/>
  <c r="AL43" i="4" s="1"/>
  <c r="AN43" i="4" s="1"/>
  <c r="AQ42" i="4"/>
  <c r="AI40" i="4"/>
  <c r="AP39" i="4"/>
  <c r="AT39" i="4" s="1"/>
  <c r="AV39" i="4" s="1"/>
  <c r="AA37" i="4"/>
  <c r="BU36" i="4"/>
  <c r="AP36" i="4"/>
  <c r="AT36" i="4" s="1"/>
  <c r="AV36" i="4" s="1"/>
  <c r="F35" i="4"/>
  <c r="AI33" i="4"/>
  <c r="AY26" i="4"/>
  <c r="F56" i="4"/>
  <c r="BU43" i="4"/>
  <c r="AA43" i="4"/>
  <c r="F43" i="4"/>
  <c r="AP42" i="4"/>
  <c r="AT42" i="4" s="1"/>
  <c r="AV42" i="4" s="1"/>
  <c r="AA41" i="4"/>
  <c r="F41" i="4"/>
  <c r="AH40" i="4"/>
  <c r="AL40" i="4" s="1"/>
  <c r="F40" i="4"/>
  <c r="AQ38" i="4"/>
  <c r="AQ37" i="4"/>
  <c r="BT36" i="4"/>
  <c r="BX36" i="4" s="1"/>
  <c r="BY36" i="4" s="1"/>
  <c r="BZ36" i="4" s="1"/>
  <c r="AA35" i="4"/>
  <c r="BU34" i="4"/>
  <c r="AH33" i="4"/>
  <c r="AL33" i="4" s="1"/>
  <c r="BF60" i="4"/>
  <c r="BF58" i="4"/>
  <c r="AY57" i="4"/>
  <c r="AY54" i="4"/>
  <c r="AA45" i="4"/>
  <c r="BT43" i="4"/>
  <c r="BX43" i="4" s="1"/>
  <c r="AI42" i="4"/>
  <c r="BU40" i="4"/>
  <c r="BU38" i="4"/>
  <c r="AP38" i="4"/>
  <c r="AT38" i="4" s="1"/>
  <c r="AP37" i="4"/>
  <c r="AT37" i="4" s="1"/>
  <c r="BT34" i="4"/>
  <c r="BX34" i="4" s="1"/>
  <c r="F33" i="4"/>
  <c r="AA25" i="4"/>
  <c r="BU23" i="4"/>
  <c r="BO261" i="4"/>
  <c r="BP262" i="4"/>
  <c r="BT262" i="4" s="1"/>
  <c r="CK310" i="4"/>
  <c r="CF310" i="4"/>
  <c r="Z19" i="4" s="1"/>
  <c r="AD19" i="4" s="1"/>
  <c r="CK312" i="4"/>
  <c r="CF312" i="4"/>
  <c r="CK314" i="4"/>
  <c r="CF314" i="4"/>
  <c r="CK316" i="4"/>
  <c r="CF318" i="4"/>
  <c r="CF321" i="4"/>
  <c r="CK323" i="4"/>
  <c r="CK325" i="4"/>
  <c r="CK330" i="4"/>
  <c r="BO264" i="4"/>
  <c r="CF323" i="4"/>
  <c r="CK342" i="4"/>
  <c r="CF342" i="4"/>
  <c r="Z95" i="4"/>
  <c r="AD95" i="4" s="1"/>
  <c r="BO265" i="4"/>
  <c r="CK326" i="4"/>
  <c r="CK331" i="4"/>
  <c r="CK335" i="4"/>
  <c r="EC340" i="4"/>
  <c r="EE340" i="4" s="1"/>
  <c r="AA95" i="4"/>
  <c r="CF317" i="4"/>
  <c r="CK319" i="4"/>
  <c r="CF326" i="4"/>
  <c r="ED326" i="4"/>
  <c r="CK328" i="4"/>
  <c r="CK333" i="4"/>
  <c r="CK341" i="4"/>
  <c r="CK311" i="4"/>
  <c r="CF311" i="4"/>
  <c r="CK313" i="4"/>
  <c r="CF313" i="4"/>
  <c r="CK315" i="4"/>
  <c r="CF315" i="4"/>
  <c r="CK317" i="4"/>
  <c r="CK322" i="4"/>
  <c r="CK324" i="4"/>
  <c r="CK338" i="4"/>
  <c r="CF338" i="4"/>
  <c r="BN259" i="4"/>
  <c r="CF319" i="4"/>
  <c r="CK320" i="4"/>
  <c r="CF322" i="4"/>
  <c r="CK329" i="4"/>
  <c r="BP258" i="4"/>
  <c r="BU258" i="4" s="1"/>
  <c r="BO259" i="4"/>
  <c r="CF320" i="4"/>
  <c r="CF329" i="4"/>
  <c r="CK337" i="4"/>
  <c r="EC339" i="4"/>
  <c r="EE339" i="4" s="1"/>
  <c r="BJ19" i="4"/>
  <c r="BK19" i="4" s="1"/>
  <c r="AB19" i="4"/>
  <c r="AR19" i="4"/>
  <c r="BQ45" i="4"/>
  <c r="BR45" i="4"/>
  <c r="AN53" i="4"/>
  <c r="AM53" i="4"/>
  <c r="AC19" i="4"/>
  <c r="AS19" i="4"/>
  <c r="BD17" i="4"/>
  <c r="BD22" i="4"/>
  <c r="AN54" i="4"/>
  <c r="AM54" i="4"/>
  <c r="BR57" i="4"/>
  <c r="BQ57" i="4"/>
  <c r="BB19" i="4"/>
  <c r="BP19" i="4"/>
  <c r="BW19" i="4"/>
  <c r="BV19" i="4"/>
  <c r="AJ19" i="4"/>
  <c r="BJ16" i="4"/>
  <c r="BK16" i="4" s="1"/>
  <c r="BR18" i="4"/>
  <c r="AK19" i="4"/>
  <c r="BQ23" i="4"/>
  <c r="BR23" i="4"/>
  <c r="BC34" i="4"/>
  <c r="BD34" i="4" s="1"/>
  <c r="AB22" i="4"/>
  <c r="AJ22" i="4"/>
  <c r="BP21" i="4"/>
  <c r="AC22" i="4"/>
  <c r="AK22" i="4"/>
  <c r="AS22" i="4"/>
  <c r="BI22" i="4"/>
  <c r="BP33" i="4"/>
  <c r="AC34" i="4"/>
  <c r="AK34" i="4"/>
  <c r="AS34" i="4"/>
  <c r="BI34" i="4"/>
  <c r="BB37" i="4"/>
  <c r="BP37" i="4"/>
  <c r="BW37" i="4"/>
  <c r="AS37" i="4"/>
  <c r="BI43" i="4"/>
  <c r="AS43" i="4"/>
  <c r="AK43" i="4"/>
  <c r="AC43" i="4"/>
  <c r="BW43" i="4"/>
  <c r="AJ43" i="4"/>
  <c r="BV43" i="4"/>
  <c r="AR43" i="4"/>
  <c r="BB43" i="4"/>
  <c r="AB43" i="4"/>
  <c r="BR55" i="4"/>
  <c r="BQ55" i="4"/>
  <c r="BW16" i="4"/>
  <c r="AB17" i="4"/>
  <c r="AR17" i="4"/>
  <c r="BP16" i="4"/>
  <c r="AC17" i="4"/>
  <c r="AK17" i="4"/>
  <c r="AS17" i="4"/>
  <c r="BI17" i="4"/>
  <c r="BB18" i="4"/>
  <c r="BV22" i="4"/>
  <c r="BP25" i="4"/>
  <c r="AE26" i="4"/>
  <c r="BV34" i="4"/>
  <c r="BJ35" i="4"/>
  <c r="BK35" i="4" s="1"/>
  <c r="BA53" i="4"/>
  <c r="AD53" i="4"/>
  <c r="BI53" i="4"/>
  <c r="AZ53" i="4"/>
  <c r="BH53" i="4"/>
  <c r="BG53" i="4"/>
  <c r="AT53" i="4"/>
  <c r="BP53" i="4"/>
  <c r="AF58" i="4"/>
  <c r="AE58" i="4"/>
  <c r="BR43" i="4"/>
  <c r="BQ43" i="4"/>
  <c r="AJ17" i="4"/>
  <c r="BV17" i="4"/>
  <c r="BB21" i="4"/>
  <c r="BW22" i="4"/>
  <c r="AB23" i="4"/>
  <c r="AJ23" i="4"/>
  <c r="BB33" i="4"/>
  <c r="BW34" i="4"/>
  <c r="AB35" i="4"/>
  <c r="AK35" i="4"/>
  <c r="BP35" i="4"/>
  <c r="AJ37" i="4"/>
  <c r="BC38" i="4"/>
  <c r="BD38" i="4" s="1"/>
  <c r="BB40" i="4"/>
  <c r="BP40" i="4"/>
  <c r="BW40" i="4"/>
  <c r="BV40" i="4"/>
  <c r="BI40" i="4"/>
  <c r="AS40" i="4"/>
  <c r="AK40" i="4"/>
  <c r="AC40" i="4"/>
  <c r="BJ61" i="4"/>
  <c r="BK61" i="4" s="1"/>
  <c r="AR22" i="4"/>
  <c r="BB16" i="4"/>
  <c r="AB18" i="4"/>
  <c r="AJ18" i="4"/>
  <c r="AR18" i="4"/>
  <c r="BP22" i="4"/>
  <c r="AL25" i="4"/>
  <c r="BB25" i="4"/>
  <c r="BP34" i="4"/>
  <c r="AK37" i="4"/>
  <c r="BI37" i="4"/>
  <c r="BJ39" i="4"/>
  <c r="BK39" i="4" s="1"/>
  <c r="AB34" i="4"/>
  <c r="AJ34" i="4"/>
  <c r="AR34" i="4"/>
  <c r="BP17" i="4"/>
  <c r="AC18" i="4"/>
  <c r="AK18" i="4"/>
  <c r="AS18" i="4"/>
  <c r="AB21" i="4"/>
  <c r="AJ21" i="4"/>
  <c r="AB33" i="4"/>
  <c r="AJ33" i="4"/>
  <c r="AB16" i="4"/>
  <c r="AJ16" i="4"/>
  <c r="BB35" i="4"/>
  <c r="AB37" i="4"/>
  <c r="BQ60" i="4"/>
  <c r="BR60" i="4"/>
  <c r="BP39" i="4"/>
  <c r="BB41" i="4"/>
  <c r="AJ42" i="4"/>
  <c r="AS42" i="4"/>
  <c r="BW42" i="4"/>
  <c r="AL45" i="4"/>
  <c r="BG54" i="4"/>
  <c r="BG58" i="4"/>
  <c r="BB36" i="4"/>
  <c r="AB38" i="4"/>
  <c r="AJ38" i="4"/>
  <c r="AR38" i="4"/>
  <c r="AB42" i="4"/>
  <c r="AK42" i="4"/>
  <c r="BA55" i="4"/>
  <c r="BI55" i="4"/>
  <c r="AZ55" i="4"/>
  <c r="AL55" i="4"/>
  <c r="BB57" i="4"/>
  <c r="BA57" i="4"/>
  <c r="AL57" i="4"/>
  <c r="BI60" i="4"/>
  <c r="BI64" i="4" s="1"/>
  <c r="BJ64" i="4" s="1"/>
  <c r="BK64" i="4" s="1"/>
  <c r="AZ60" i="4"/>
  <c r="BH60" i="4"/>
  <c r="AL60" i="4"/>
  <c r="BA60" i="4"/>
  <c r="AC38" i="4"/>
  <c r="AK38" i="4"/>
  <c r="AS38" i="4"/>
  <c r="BI38" i="4"/>
  <c r="BB39" i="4"/>
  <c r="AB41" i="4"/>
  <c r="AJ41" i="4"/>
  <c r="AR41" i="4"/>
  <c r="BI41" i="4"/>
  <c r="BV41" i="4"/>
  <c r="BP42" i="4"/>
  <c r="AC42" i="4"/>
  <c r="BI45" i="4"/>
  <c r="BR46" i="4"/>
  <c r="BS46" i="4" s="1"/>
  <c r="BJ62" i="4"/>
  <c r="BK62" i="4" s="1"/>
  <c r="AB36" i="4"/>
  <c r="AJ36" i="4"/>
  <c r="AC41" i="4"/>
  <c r="AK41" i="4"/>
  <c r="AS41" i="4"/>
  <c r="AB45" i="4"/>
  <c r="BP54" i="4"/>
  <c r="AT55" i="4"/>
  <c r="AT57" i="4"/>
  <c r="AF61" i="4"/>
  <c r="AE61" i="4"/>
  <c r="AB39" i="4"/>
  <c r="AJ39" i="4"/>
  <c r="AR39" i="4"/>
  <c r="AC45" i="4"/>
  <c r="AT45" i="4"/>
  <c r="BG57" i="4"/>
  <c r="AT60" i="4"/>
  <c r="AC39" i="4"/>
  <c r="AK39" i="4"/>
  <c r="AS39" i="4"/>
  <c r="BC42" i="4"/>
  <c r="BD42" i="4" s="1"/>
  <c r="BH55" i="4"/>
  <c r="BA56" i="4"/>
  <c r="BI56" i="4"/>
  <c r="AZ56" i="4"/>
  <c r="AL56" i="4"/>
  <c r="BH57" i="4"/>
  <c r="BB58" i="4"/>
  <c r="BA58" i="4"/>
  <c r="AL58" i="4"/>
  <c r="BG60" i="4"/>
  <c r="BA54" i="4"/>
  <c r="BI54" i="4"/>
  <c r="AZ54" i="4"/>
  <c r="AD55" i="4"/>
  <c r="AD57" i="4"/>
  <c r="AD60" i="4"/>
  <c r="AZ61" i="4"/>
  <c r="AZ62" i="4"/>
  <c r="AM95" i="4"/>
  <c r="AN95" i="4"/>
  <c r="AS261" i="4"/>
  <c r="CR270" i="4" s="1"/>
  <c r="AB95" i="4"/>
  <c r="BP95" i="4"/>
  <c r="BJ266" i="4"/>
  <c r="BJ267" i="4"/>
  <c r="BC266" i="4"/>
  <c r="EC311" i="4"/>
  <c r="EE311" i="4" s="1"/>
  <c r="EB311" i="4"/>
  <c r="ED311" i="4" s="1"/>
  <c r="EC313" i="4"/>
  <c r="EE313" i="4" s="1"/>
  <c r="EB313" i="4"/>
  <c r="ED313" i="4" s="1"/>
  <c r="EC315" i="4"/>
  <c r="EE315" i="4" s="1"/>
  <c r="EB315" i="4"/>
  <c r="ED315" i="4" s="1"/>
  <c r="EC322" i="4"/>
  <c r="EE322" i="4" s="1"/>
  <c r="EB322" i="4"/>
  <c r="ED322" i="4" s="1"/>
  <c r="EB324" i="4"/>
  <c r="ED324" i="4" s="1"/>
  <c r="EC324" i="4"/>
  <c r="EE324" i="4" s="1"/>
  <c r="EB329" i="4"/>
  <c r="ED329" i="4" s="1"/>
  <c r="EC329" i="4"/>
  <c r="EE329" i="4" s="1"/>
  <c r="AC95" i="4"/>
  <c r="F10" i="7"/>
  <c r="F9" i="7"/>
  <c r="BK267" i="4"/>
  <c r="BK266" i="4"/>
  <c r="BN257" i="4"/>
  <c r="AT95" i="4"/>
  <c r="BC96" i="4"/>
  <c r="BD96" i="4" s="1"/>
  <c r="BL267" i="4"/>
  <c r="BL266" i="4"/>
  <c r="CF259" i="4"/>
  <c r="BO257" i="4"/>
  <c r="BO263" i="4"/>
  <c r="EC317" i="4"/>
  <c r="EE317" i="4" s="1"/>
  <c r="EB317" i="4"/>
  <c r="ED317" i="4" s="1"/>
  <c r="EB325" i="4"/>
  <c r="ED325" i="4" s="1"/>
  <c r="EC325" i="4"/>
  <c r="EE325" i="4" s="1"/>
  <c r="EB330" i="4"/>
  <c r="ED330" i="4" s="1"/>
  <c r="EC330" i="4"/>
  <c r="EE330" i="4" s="1"/>
  <c r="AS256" i="4"/>
  <c r="CR271" i="4" s="1"/>
  <c r="CR272" i="4" s="1"/>
  <c r="CR273" i="4" s="1"/>
  <c r="CR274" i="4" s="1"/>
  <c r="BM267" i="4"/>
  <c r="BM266" i="4"/>
  <c r="BP257" i="4"/>
  <c r="CF257" i="4"/>
  <c r="EB332" i="4"/>
  <c r="ED332" i="4" s="1"/>
  <c r="EC332" i="4"/>
  <c r="EE332" i="4" s="1"/>
  <c r="G10" i="7"/>
  <c r="G9" i="7"/>
  <c r="BB267" i="4"/>
  <c r="BB266" i="4"/>
  <c r="BN256" i="4"/>
  <c r="BN260" i="4"/>
  <c r="BO260" i="4"/>
  <c r="BP263" i="4"/>
  <c r="BN264" i="4"/>
  <c r="EC310" i="4"/>
  <c r="EE310" i="4" s="1"/>
  <c r="EB310" i="4"/>
  <c r="ED310" i="4" s="1"/>
  <c r="EC312" i="4"/>
  <c r="EE312" i="4" s="1"/>
  <c r="EB312" i="4"/>
  <c r="ED312" i="4" s="1"/>
  <c r="EC314" i="4"/>
  <c r="EE314" i="4" s="1"/>
  <c r="EB314" i="4"/>
  <c r="ED314" i="4" s="1"/>
  <c r="EC321" i="4"/>
  <c r="EE321" i="4" s="1"/>
  <c r="EB321" i="4"/>
  <c r="ED321" i="4" s="1"/>
  <c r="BC267" i="4"/>
  <c r="BO256" i="4"/>
  <c r="EC319" i="4"/>
  <c r="EE319" i="4" s="1"/>
  <c r="EB319" i="4"/>
  <c r="ED319" i="4" s="1"/>
  <c r="EB328" i="4"/>
  <c r="ED328" i="4" s="1"/>
  <c r="EC328" i="4"/>
  <c r="EE328" i="4" s="1"/>
  <c r="EC333" i="4"/>
  <c r="EE333" i="4" s="1"/>
  <c r="EB333" i="4"/>
  <c r="ED333" i="4" s="1"/>
  <c r="BK96" i="4"/>
  <c r="BD266" i="4"/>
  <c r="BD267" i="4"/>
  <c r="BP256" i="4"/>
  <c r="CF256" i="4"/>
  <c r="BN258" i="4"/>
  <c r="BI266" i="4"/>
  <c r="BI267" i="4"/>
  <c r="BO258" i="4"/>
  <c r="CF258" i="4"/>
  <c r="BO262" i="4"/>
  <c r="EC320" i="4"/>
  <c r="EE320" i="4" s="1"/>
  <c r="EB320" i="4"/>
  <c r="ED320" i="4" s="1"/>
  <c r="EB331" i="4"/>
  <c r="ED331" i="4" s="1"/>
  <c r="EC331" i="4"/>
  <c r="EE331" i="4" s="1"/>
  <c r="CF267" i="4"/>
  <c r="K6" i="6"/>
  <c r="J6" i="6"/>
  <c r="L6" i="6" s="1"/>
  <c r="K14" i="6"/>
  <c r="M14" i="6" s="1"/>
  <c r="J14" i="6"/>
  <c r="L14" i="6" s="1"/>
  <c r="K22" i="6"/>
  <c r="M22" i="6" s="1"/>
  <c r="J22" i="6"/>
  <c r="L22" i="6" s="1"/>
  <c r="K30" i="6"/>
  <c r="M30" i="6" s="1"/>
  <c r="J30" i="6"/>
  <c r="L30" i="6" s="1"/>
  <c r="BN261" i="4"/>
  <c r="BP264" i="4"/>
  <c r="BN265" i="4"/>
  <c r="EB323" i="4"/>
  <c r="ED323" i="4" s="1"/>
  <c r="EC326" i="4"/>
  <c r="EE326" i="4" s="1"/>
  <c r="K9" i="6"/>
  <c r="M9" i="6" s="1"/>
  <c r="J9" i="6"/>
  <c r="L9" i="6" s="1"/>
  <c r="K17" i="6"/>
  <c r="M17" i="6" s="1"/>
  <c r="J17" i="6"/>
  <c r="K25" i="6"/>
  <c r="M25" i="6" s="1"/>
  <c r="J25" i="6"/>
  <c r="L25" i="6" s="1"/>
  <c r="K33" i="6"/>
  <c r="M33" i="6" s="1"/>
  <c r="J33" i="6"/>
  <c r="L33" i="6" s="1"/>
  <c r="CF265" i="4"/>
  <c r="CF331" i="4"/>
  <c r="CK334" i="4"/>
  <c r="CK336" i="4"/>
  <c r="CK339" i="4"/>
  <c r="CF339" i="4"/>
  <c r="K12" i="6"/>
  <c r="M12" i="6" s="1"/>
  <c r="J12" i="6"/>
  <c r="L12" i="6" s="1"/>
  <c r="K20" i="6"/>
  <c r="M20" i="6" s="1"/>
  <c r="J20" i="6"/>
  <c r="L20" i="6" s="1"/>
  <c r="K28" i="6"/>
  <c r="M28" i="6" s="1"/>
  <c r="J28" i="6"/>
  <c r="L28" i="6" s="1"/>
  <c r="BN262" i="4"/>
  <c r="BP265" i="4"/>
  <c r="CF268" i="4"/>
  <c r="DX305" i="4"/>
  <c r="CF328" i="4"/>
  <c r="K7" i="6"/>
  <c r="M7" i="6" s="1"/>
  <c r="J7" i="6"/>
  <c r="L7" i="6" s="1"/>
  <c r="K15" i="6"/>
  <c r="M15" i="6" s="1"/>
  <c r="J15" i="6"/>
  <c r="L15" i="6" s="1"/>
  <c r="K23" i="6"/>
  <c r="M23" i="6" s="1"/>
  <c r="J23" i="6"/>
  <c r="L23" i="6" s="1"/>
  <c r="K31" i="6"/>
  <c r="M31" i="6" s="1"/>
  <c r="J31" i="6"/>
  <c r="L31" i="6" s="1"/>
  <c r="CF325" i="4"/>
  <c r="CF333" i="4"/>
  <c r="CK340" i="4"/>
  <c r="CF340" i="4"/>
  <c r="K10" i="6"/>
  <c r="M10" i="6" s="1"/>
  <c r="J10" i="6"/>
  <c r="L10" i="6" s="1"/>
  <c r="K18" i="6"/>
  <c r="M18" i="6" s="1"/>
  <c r="J18" i="6"/>
  <c r="L18" i="6" s="1"/>
  <c r="K26" i="6"/>
  <c r="M26" i="6" s="1"/>
  <c r="J26" i="6"/>
  <c r="L26" i="6" s="1"/>
  <c r="K34" i="6"/>
  <c r="M34" i="6" s="1"/>
  <c r="J34" i="6"/>
  <c r="L34" i="6" s="1"/>
  <c r="BN263" i="4"/>
  <c r="CF330" i="4"/>
  <c r="K13" i="6"/>
  <c r="M13" i="6" s="1"/>
  <c r="J13" i="6"/>
  <c r="L13" i="6" s="1"/>
  <c r="K21" i="6"/>
  <c r="M21" i="6" s="1"/>
  <c r="J21" i="6"/>
  <c r="L21" i="6" s="1"/>
  <c r="L27" i="6"/>
  <c r="K29" i="6"/>
  <c r="M29" i="6" s="1"/>
  <c r="J29" i="6"/>
  <c r="L29" i="6" s="1"/>
  <c r="EB318" i="4"/>
  <c r="ED318" i="4" s="1"/>
  <c r="CF327" i="4"/>
  <c r="EC327" i="4"/>
  <c r="EE327" i="4" s="1"/>
  <c r="CF337" i="4"/>
  <c r="CF341" i="4"/>
  <c r="CF334" i="4"/>
  <c r="K8" i="6"/>
  <c r="M8" i="6" s="1"/>
  <c r="J8" i="6"/>
  <c r="L8" i="6" s="1"/>
  <c r="K16" i="6"/>
  <c r="M16" i="6" s="1"/>
  <c r="J16" i="6"/>
  <c r="L16" i="6" s="1"/>
  <c r="K24" i="6"/>
  <c r="M24" i="6" s="1"/>
  <c r="J24" i="6"/>
  <c r="L24" i="6" s="1"/>
  <c r="K32" i="6"/>
  <c r="M32" i="6" s="1"/>
  <c r="J32" i="6"/>
  <c r="L32" i="6" s="1"/>
  <c r="CK318" i="4"/>
  <c r="CF324" i="4"/>
  <c r="CF332" i="4"/>
  <c r="M6" i="6"/>
  <c r="K11" i="6"/>
  <c r="M11" i="6" s="1"/>
  <c r="J11" i="6"/>
  <c r="L11" i="6" s="1"/>
  <c r="L17" i="6"/>
  <c r="K19" i="6"/>
  <c r="M19" i="6" s="1"/>
  <c r="J19" i="6"/>
  <c r="L19" i="6" s="1"/>
  <c r="K27" i="6"/>
  <c r="M27" i="6" s="1"/>
  <c r="J27" i="6"/>
  <c r="K35" i="6"/>
  <c r="M35" i="6" s="1"/>
  <c r="J35" i="6"/>
  <c r="L35" i="6" s="1"/>
  <c r="EB342" i="4"/>
  <c r="ED342" i="4" s="1"/>
  <c r="AC79" i="4" l="1"/>
  <c r="AD79" i="4" s="1"/>
  <c r="AE79" i="4" s="1"/>
  <c r="CA79" i="4" s="1"/>
  <c r="AD80" i="4"/>
  <c r="AE80" i="4" s="1"/>
  <c r="CA80" i="4" s="1"/>
  <c r="AB78" i="4"/>
  <c r="AC78" i="4" s="1"/>
  <c r="AD78" i="4" s="1"/>
  <c r="BR61" i="4"/>
  <c r="BS61" i="4" s="1"/>
  <c r="AV20" i="4"/>
  <c r="AU20" i="4"/>
  <c r="AW20" i="4" s="1"/>
  <c r="BY20" i="4"/>
  <c r="BZ20" i="4" s="1"/>
  <c r="AE20" i="4"/>
  <c r="AF20" i="4"/>
  <c r="AM20" i="4"/>
  <c r="AN20" i="4"/>
  <c r="BK36" i="4"/>
  <c r="AE62" i="4"/>
  <c r="AU26" i="4"/>
  <c r="AW26" i="4" s="1"/>
  <c r="AM62" i="4"/>
  <c r="AO62" i="4" s="1"/>
  <c r="AM61" i="4"/>
  <c r="AV70" i="4"/>
  <c r="AU70" i="4"/>
  <c r="AF66" i="4"/>
  <c r="AE66" i="4"/>
  <c r="AN65" i="4"/>
  <c r="AM65" i="4"/>
  <c r="AM71" i="4"/>
  <c r="CA71" i="4" s="1"/>
  <c r="CB71" i="4" s="1"/>
  <c r="CC71" i="4" s="1"/>
  <c r="AN71" i="4"/>
  <c r="AV69" i="4"/>
  <c r="AU69" i="4"/>
  <c r="AM68" i="4"/>
  <c r="AN68" i="4"/>
  <c r="BQ67" i="4"/>
  <c r="BR67" i="4"/>
  <c r="AN70" i="4"/>
  <c r="AM70" i="4"/>
  <c r="AV68" i="4"/>
  <c r="AU68" i="4"/>
  <c r="AN69" i="4"/>
  <c r="AM69" i="4"/>
  <c r="AN33" i="4"/>
  <c r="BE57" i="4"/>
  <c r="BI57" i="4" s="1"/>
  <c r="AX26" i="4"/>
  <c r="BB26" i="4" s="1"/>
  <c r="BC26" i="4" s="1"/>
  <c r="BD26" i="4" s="1"/>
  <c r="Z37" i="4"/>
  <c r="AD37" i="4" s="1"/>
  <c r="AF37" i="4" s="1"/>
  <c r="AX61" i="4"/>
  <c r="BB61" i="4" s="1"/>
  <c r="BC61" i="4" s="1"/>
  <c r="BD61" i="4" s="1"/>
  <c r="Z34" i="4"/>
  <c r="AD34" i="4" s="1"/>
  <c r="AF34" i="4" s="1"/>
  <c r="Z43" i="4"/>
  <c r="AD43" i="4" s="1"/>
  <c r="AF43" i="4" s="1"/>
  <c r="AX62" i="4"/>
  <c r="BB62" i="4" s="1"/>
  <c r="BC62" i="4" s="1"/>
  <c r="BD62" i="4" s="1"/>
  <c r="Z41" i="4"/>
  <c r="AD41" i="4" s="1"/>
  <c r="AF41" i="4" s="1"/>
  <c r="Z36" i="4"/>
  <c r="AD36" i="4" s="1"/>
  <c r="AF36" i="4" s="1"/>
  <c r="BE58" i="4"/>
  <c r="BI58" i="4" s="1"/>
  <c r="AX56" i="4"/>
  <c r="BB56" i="4" s="1"/>
  <c r="BC56" i="4" s="1"/>
  <c r="BD56" i="4" s="1"/>
  <c r="Z42" i="4"/>
  <c r="AD42" i="4" s="1"/>
  <c r="AF42" i="4" s="1"/>
  <c r="Z35" i="4"/>
  <c r="AD35" i="4" s="1"/>
  <c r="AE35" i="4" s="1"/>
  <c r="Z40" i="4"/>
  <c r="AD40" i="4" s="1"/>
  <c r="AF40" i="4" s="1"/>
  <c r="Z25" i="4"/>
  <c r="AD25" i="4" s="1"/>
  <c r="AF25" i="4" s="1"/>
  <c r="AX54" i="4"/>
  <c r="BB54" i="4" s="1"/>
  <c r="BC54" i="4" s="1"/>
  <c r="BD54" i="4" s="1"/>
  <c r="Z45" i="4"/>
  <c r="AD45" i="4" s="1"/>
  <c r="AE45" i="4" s="1"/>
  <c r="Z39" i="4"/>
  <c r="AD39" i="4" s="1"/>
  <c r="AE39" i="4" s="1"/>
  <c r="AX46" i="4"/>
  <c r="BB46" i="4" s="1"/>
  <c r="BC46" i="4" s="1"/>
  <c r="BD46" i="4" s="1"/>
  <c r="Z33" i="4"/>
  <c r="AD33" i="4" s="1"/>
  <c r="AE33" i="4" s="1"/>
  <c r="Z23" i="4"/>
  <c r="AD23" i="4" s="1"/>
  <c r="AE23" i="4" s="1"/>
  <c r="AX60" i="4"/>
  <c r="BB60" i="4" s="1"/>
  <c r="Z21" i="4"/>
  <c r="AD21" i="4" s="1"/>
  <c r="AF21" i="4" s="1"/>
  <c r="Z22" i="4"/>
  <c r="AD22" i="4" s="1"/>
  <c r="AF22" i="4" s="1"/>
  <c r="Z18" i="4"/>
  <c r="AD18" i="4" s="1"/>
  <c r="AF18" i="4" s="1"/>
  <c r="Z38" i="4"/>
  <c r="AD38" i="4" s="1"/>
  <c r="AE38" i="4" s="1"/>
  <c r="Z17" i="4"/>
  <c r="AD17" i="4" s="1"/>
  <c r="AF17" i="4" s="1"/>
  <c r="AX55" i="4"/>
  <c r="BB55" i="4" s="1"/>
  <c r="BC55" i="4" s="1"/>
  <c r="BD55" i="4" s="1"/>
  <c r="AB82" i="4"/>
  <c r="AC82" i="4" s="1"/>
  <c r="AD82" i="4" s="1"/>
  <c r="AE82" i="4" s="1"/>
  <c r="CA82" i="4" s="1"/>
  <c r="BT259" i="4"/>
  <c r="AU25" i="4"/>
  <c r="AW25" i="4" s="1"/>
  <c r="AV61" i="4"/>
  <c r="AW61" i="4" s="1"/>
  <c r="BR36" i="4"/>
  <c r="BS36" i="4" s="1"/>
  <c r="AU62" i="4"/>
  <c r="AW62" i="4" s="1"/>
  <c r="AV58" i="4"/>
  <c r="AW58" i="4" s="1"/>
  <c r="AU46" i="4"/>
  <c r="AW46" i="4" s="1"/>
  <c r="AU56" i="4"/>
  <c r="AW56" i="4" s="1"/>
  <c r="AM21" i="4"/>
  <c r="AO21" i="4" s="1"/>
  <c r="BQ259" i="4"/>
  <c r="AU54" i="4"/>
  <c r="AW54" i="4" s="1"/>
  <c r="BR26" i="4"/>
  <c r="BS26" i="4" s="1"/>
  <c r="AF16" i="4"/>
  <c r="AG16" i="4" s="1"/>
  <c r="AE46" i="4"/>
  <c r="AG46" i="4" s="1"/>
  <c r="AU23" i="4"/>
  <c r="AW23" i="4" s="1"/>
  <c r="AN16" i="4"/>
  <c r="AV18" i="4"/>
  <c r="AW18" i="4" s="1"/>
  <c r="AM23" i="4"/>
  <c r="AO23" i="4" s="1"/>
  <c r="BQ260" i="4"/>
  <c r="BV260" i="4" s="1"/>
  <c r="AU21" i="4"/>
  <c r="AW21" i="4" s="1"/>
  <c r="AM16" i="4"/>
  <c r="AF95" i="4"/>
  <c r="BT261" i="4"/>
  <c r="AM18" i="4"/>
  <c r="AO18" i="4" s="1"/>
  <c r="AM41" i="4"/>
  <c r="AO41" i="4" s="1"/>
  <c r="AV33" i="4"/>
  <c r="AW33" i="4" s="1"/>
  <c r="BK269" i="4"/>
  <c r="BI44" i="4"/>
  <c r="BJ44" i="4" s="1"/>
  <c r="AN26" i="4"/>
  <c r="AM26" i="4"/>
  <c r="BQ62" i="4"/>
  <c r="BQ64" i="4" s="1"/>
  <c r="BR62" i="4"/>
  <c r="BQ41" i="4"/>
  <c r="BR41" i="4"/>
  <c r="AE54" i="4"/>
  <c r="AF54" i="4"/>
  <c r="BR58" i="4"/>
  <c r="BQ58" i="4"/>
  <c r="AE56" i="4"/>
  <c r="AF56" i="4"/>
  <c r="AN46" i="4"/>
  <c r="AM46" i="4"/>
  <c r="BR56" i="4"/>
  <c r="BQ56" i="4"/>
  <c r="BR38" i="4"/>
  <c r="BQ38" i="4"/>
  <c r="AM36" i="4"/>
  <c r="AO36" i="4" s="1"/>
  <c r="AM33" i="4"/>
  <c r="AM37" i="4"/>
  <c r="AO37" i="4" s="1"/>
  <c r="AN35" i="4"/>
  <c r="AO35" i="4" s="1"/>
  <c r="AU39" i="4"/>
  <c r="AW39" i="4" s="1"/>
  <c r="CF335" i="4"/>
  <c r="AU41" i="4"/>
  <c r="AW41" i="4" s="1"/>
  <c r="BU262" i="4"/>
  <c r="BU260" i="4"/>
  <c r="BQ261" i="4"/>
  <c r="BQ262" i="4"/>
  <c r="BV262" i="4" s="1"/>
  <c r="BQ256" i="4"/>
  <c r="BW256" i="4" s="1"/>
  <c r="BX256" i="4" s="1"/>
  <c r="BQ264" i="4"/>
  <c r="AV16" i="4"/>
  <c r="AW16" i="4" s="1"/>
  <c r="BQ258" i="4"/>
  <c r="BT258" i="4"/>
  <c r="BI269" i="4"/>
  <c r="AU42" i="4"/>
  <c r="AW42" i="4" s="1"/>
  <c r="BQ265" i="4"/>
  <c r="BL269" i="4"/>
  <c r="BS23" i="4"/>
  <c r="AU36" i="4"/>
  <c r="AW36" i="4" s="1"/>
  <c r="BS18" i="4"/>
  <c r="BZ17" i="4"/>
  <c r="BB269" i="4"/>
  <c r="AM43" i="4"/>
  <c r="AO43" i="4" s="1"/>
  <c r="AO54" i="4"/>
  <c r="AN39" i="4"/>
  <c r="AM39" i="4"/>
  <c r="BS43" i="4"/>
  <c r="BD269" i="4"/>
  <c r="CF336" i="4"/>
  <c r="BS57" i="4"/>
  <c r="AN56" i="4"/>
  <c r="AM56" i="4"/>
  <c r="BR42" i="4"/>
  <c r="BQ42" i="4"/>
  <c r="BC39" i="4"/>
  <c r="BD39" i="4" s="1"/>
  <c r="AN57" i="4"/>
  <c r="AM57" i="4"/>
  <c r="BC41" i="4"/>
  <c r="BD41" i="4" s="1"/>
  <c r="BC25" i="4"/>
  <c r="BD25" i="4" s="1"/>
  <c r="BJ53" i="4"/>
  <c r="BK53" i="4" s="1"/>
  <c r="AG26" i="4"/>
  <c r="BC37" i="4"/>
  <c r="BD37" i="4" s="1"/>
  <c r="AV19" i="4"/>
  <c r="AU19" i="4"/>
  <c r="BJ269" i="4"/>
  <c r="BR25" i="4"/>
  <c r="BQ25" i="4"/>
  <c r="BT264" i="4"/>
  <c r="BU264" i="4"/>
  <c r="BM269" i="4"/>
  <c r="BC269" i="4"/>
  <c r="BR95" i="4"/>
  <c r="BQ95" i="4"/>
  <c r="AM96" i="4"/>
  <c r="AO95" i="4"/>
  <c r="AF55" i="4"/>
  <c r="AE55" i="4"/>
  <c r="AV55" i="4"/>
  <c r="AU55" i="4"/>
  <c r="BJ57" i="4"/>
  <c r="BK57" i="4" s="1"/>
  <c r="BR39" i="4"/>
  <c r="BQ39" i="4"/>
  <c r="BJ37" i="4"/>
  <c r="BK37" i="4" s="1"/>
  <c r="BY22" i="4"/>
  <c r="BZ22" i="4" s="1"/>
  <c r="BR40" i="4"/>
  <c r="BQ40" i="4"/>
  <c r="AU35" i="4"/>
  <c r="AV35" i="4"/>
  <c r="BR53" i="4"/>
  <c r="BQ53" i="4"/>
  <c r="BJ17" i="4"/>
  <c r="BK17" i="4" s="1"/>
  <c r="BC43" i="4"/>
  <c r="BD43" i="4" s="1"/>
  <c r="BY21" i="4"/>
  <c r="BZ21" i="4" s="1"/>
  <c r="AO53" i="4"/>
  <c r="BU257" i="4"/>
  <c r="BT257" i="4"/>
  <c r="AN58" i="4"/>
  <c r="AM58" i="4"/>
  <c r="BY42" i="4"/>
  <c r="BZ42" i="4" s="1"/>
  <c r="AN25" i="4"/>
  <c r="AM25" i="4"/>
  <c r="BR35" i="4"/>
  <c r="BQ35" i="4"/>
  <c r="AF53" i="4"/>
  <c r="AE53" i="4"/>
  <c r="BC18" i="4"/>
  <c r="BD18" i="4" s="1"/>
  <c r="AV95" i="4"/>
  <c r="AU95" i="4"/>
  <c r="AV45" i="4"/>
  <c r="AU45" i="4"/>
  <c r="BR54" i="4"/>
  <c r="BQ54" i="4"/>
  <c r="BJ41" i="4"/>
  <c r="BK41" i="4" s="1"/>
  <c r="BC57" i="4"/>
  <c r="BD57" i="4" s="1"/>
  <c r="AN45" i="4"/>
  <c r="AM45" i="4"/>
  <c r="BR22" i="4"/>
  <c r="BQ22" i="4"/>
  <c r="BY40" i="4"/>
  <c r="BZ40" i="4" s="1"/>
  <c r="AV17" i="4"/>
  <c r="AU17" i="4"/>
  <c r="BC53" i="4"/>
  <c r="BD53" i="4" s="1"/>
  <c r="AV22" i="4"/>
  <c r="AU22" i="4"/>
  <c r="BJ43" i="4"/>
  <c r="BK43" i="4" s="1"/>
  <c r="BJ34" i="4"/>
  <c r="BK34" i="4" s="1"/>
  <c r="BR21" i="4"/>
  <c r="BQ21" i="4"/>
  <c r="BR19" i="4"/>
  <c r="BQ19" i="4"/>
  <c r="BQ47" i="4"/>
  <c r="BS45" i="4"/>
  <c r="BJ60" i="4"/>
  <c r="BK60" i="4" s="1"/>
  <c r="BU265" i="4"/>
  <c r="BT265" i="4"/>
  <c r="AE95" i="4"/>
  <c r="BJ54" i="4"/>
  <c r="BK54" i="4" s="1"/>
  <c r="AG62" i="4"/>
  <c r="BC58" i="4"/>
  <c r="BD58" i="4" s="1"/>
  <c r="AN60" i="4"/>
  <c r="AM60" i="4"/>
  <c r="AM64" i="4" s="1"/>
  <c r="AN55" i="4"/>
  <c r="AM55" i="4"/>
  <c r="BY34" i="4"/>
  <c r="BZ34" i="4" s="1"/>
  <c r="BJ40" i="4"/>
  <c r="BK40" i="4" s="1"/>
  <c r="BC40" i="4"/>
  <c r="BD40" i="4" s="1"/>
  <c r="AN17" i="4"/>
  <c r="AM17" i="4"/>
  <c r="AV53" i="4"/>
  <c r="AU53" i="4"/>
  <c r="AN22" i="4"/>
  <c r="AM22" i="4"/>
  <c r="BY19" i="4"/>
  <c r="BZ19" i="4" s="1"/>
  <c r="BI27" i="4"/>
  <c r="AF60" i="4"/>
  <c r="AE60" i="4"/>
  <c r="AE64" i="4" s="1"/>
  <c r="AF64" i="4" s="1"/>
  <c r="AG64" i="4" s="1"/>
  <c r="BC36" i="4"/>
  <c r="BD36" i="4" s="1"/>
  <c r="BR33" i="4"/>
  <c r="BQ33" i="4"/>
  <c r="BJ56" i="4"/>
  <c r="BK56" i="4" s="1"/>
  <c r="BU263" i="4"/>
  <c r="BT263" i="4"/>
  <c r="BQ263" i="4"/>
  <c r="AV60" i="4"/>
  <c r="AU60" i="4"/>
  <c r="BI47" i="4"/>
  <c r="BJ45" i="4"/>
  <c r="BK45" i="4" s="1"/>
  <c r="BS60" i="4"/>
  <c r="BQ17" i="4"/>
  <c r="BR17" i="4"/>
  <c r="BR34" i="4"/>
  <c r="BQ34" i="4"/>
  <c r="BC21" i="4"/>
  <c r="BD21" i="4" s="1"/>
  <c r="AV34" i="4"/>
  <c r="AU34" i="4"/>
  <c r="BS55" i="4"/>
  <c r="BC19" i="4"/>
  <c r="BD19" i="4" s="1"/>
  <c r="BI24" i="4"/>
  <c r="AN38" i="4"/>
  <c r="AM38" i="4"/>
  <c r="AG83" i="4"/>
  <c r="AF57" i="4"/>
  <c r="AE57" i="4"/>
  <c r="AV57" i="4"/>
  <c r="AU57" i="4"/>
  <c r="BJ38" i="4"/>
  <c r="BK38" i="4" s="1"/>
  <c r="BY39" i="4"/>
  <c r="BZ39" i="4" s="1"/>
  <c r="BQ257" i="4"/>
  <c r="AO61" i="4"/>
  <c r="AV38" i="4"/>
  <c r="AU38" i="4"/>
  <c r="AN42" i="4"/>
  <c r="AM42" i="4"/>
  <c r="BJ55" i="4"/>
  <c r="BK55" i="4" s="1"/>
  <c r="BC35" i="4"/>
  <c r="BD35" i="4" s="1"/>
  <c r="AN40" i="4"/>
  <c r="AM40" i="4"/>
  <c r="AG58" i="4"/>
  <c r="AV37" i="4"/>
  <c r="AU37" i="4"/>
  <c r="AN34" i="4"/>
  <c r="AM34" i="4"/>
  <c r="BY16" i="4"/>
  <c r="BZ16" i="4" s="1"/>
  <c r="BX24" i="4"/>
  <c r="AV43" i="4"/>
  <c r="AU43" i="4"/>
  <c r="BR37" i="4"/>
  <c r="BQ37" i="4"/>
  <c r="BJ22" i="4"/>
  <c r="BK22" i="4" s="1"/>
  <c r="AF19" i="4"/>
  <c r="AE19" i="4"/>
  <c r="AG61" i="4"/>
  <c r="BB24" i="4"/>
  <c r="BC16" i="4"/>
  <c r="BD16" i="4" s="1"/>
  <c r="BY43" i="4"/>
  <c r="BZ43" i="4" s="1"/>
  <c r="AV40" i="4"/>
  <c r="AU40" i="4"/>
  <c r="BB44" i="4"/>
  <c r="BC33" i="4"/>
  <c r="BD33" i="4" s="1"/>
  <c r="BR16" i="4"/>
  <c r="BQ16" i="4"/>
  <c r="BY37" i="4"/>
  <c r="BZ37" i="4" s="1"/>
  <c r="BX44" i="4"/>
  <c r="BY33" i="4"/>
  <c r="BZ33" i="4" s="1"/>
  <c r="AN19" i="4"/>
  <c r="AM19" i="4"/>
  <c r="AE78" i="4" l="1"/>
  <c r="AO33" i="4"/>
  <c r="AO20" i="4"/>
  <c r="AG20" i="4"/>
  <c r="CA20" i="4"/>
  <c r="CA61" i="4"/>
  <c r="CB61" i="4" s="1"/>
  <c r="CC61" i="4" s="1"/>
  <c r="AE37" i="4"/>
  <c r="AG37" i="4" s="1"/>
  <c r="CA68" i="4"/>
  <c r="CB68" i="4" s="1"/>
  <c r="CC68" i="4" s="1"/>
  <c r="AE34" i="4"/>
  <c r="AG34" i="4" s="1"/>
  <c r="BB27" i="4"/>
  <c r="BB28" i="4" s="1"/>
  <c r="BI59" i="4"/>
  <c r="BJ59" i="4" s="1"/>
  <c r="BK59" i="4" s="1"/>
  <c r="BB47" i="4"/>
  <c r="BC47" i="4" s="1"/>
  <c r="BD47" i="4" s="1"/>
  <c r="CA26" i="4"/>
  <c r="CB26" i="4" s="1"/>
  <c r="CC26" i="4" s="1"/>
  <c r="AE36" i="4"/>
  <c r="AG36" i="4" s="1"/>
  <c r="AO71" i="4"/>
  <c r="AU64" i="4"/>
  <c r="AV64" i="4" s="1"/>
  <c r="AW64" i="4" s="1"/>
  <c r="AO68" i="4"/>
  <c r="AW69" i="4"/>
  <c r="AM72" i="4"/>
  <c r="AN72" i="4" s="1"/>
  <c r="AO72" i="4" s="1"/>
  <c r="CA65" i="4"/>
  <c r="AO65" i="4"/>
  <c r="AO69" i="4"/>
  <c r="CA69" i="4"/>
  <c r="CB69" i="4" s="1"/>
  <c r="CC69" i="4" s="1"/>
  <c r="AG66" i="4"/>
  <c r="AE72" i="4"/>
  <c r="CA66" i="4"/>
  <c r="CB66" i="4" s="1"/>
  <c r="CC66" i="4" s="1"/>
  <c r="AW68" i="4"/>
  <c r="AU72" i="4"/>
  <c r="AV72" i="4" s="1"/>
  <c r="AW72" i="4" s="1"/>
  <c r="AW70" i="4"/>
  <c r="BS67" i="4"/>
  <c r="BQ72" i="4"/>
  <c r="BR72" i="4" s="1"/>
  <c r="BS72" i="4" s="1"/>
  <c r="CA67" i="4"/>
  <c r="CB67" i="4" s="1"/>
  <c r="CC67" i="4" s="1"/>
  <c r="AO70" i="4"/>
  <c r="CA70" i="4"/>
  <c r="CB70" i="4" s="1"/>
  <c r="CC70" i="4" s="1"/>
  <c r="AE42" i="4"/>
  <c r="AG42" i="4" s="1"/>
  <c r="BR64" i="4"/>
  <c r="BS64" i="4" s="1"/>
  <c r="BC60" i="4"/>
  <c r="BD60" i="4" s="1"/>
  <c r="BB64" i="4"/>
  <c r="BC64" i="4" s="1"/>
  <c r="BD64" i="4" s="1"/>
  <c r="AN64" i="4"/>
  <c r="AO64" i="4" s="1"/>
  <c r="AE41" i="4"/>
  <c r="CA41" i="4" s="1"/>
  <c r="CB41" i="4" s="1"/>
  <c r="CC41" i="4" s="1"/>
  <c r="AE22" i="4"/>
  <c r="AG22" i="4" s="1"/>
  <c r="BJ58" i="4"/>
  <c r="BK58" i="4" s="1"/>
  <c r="AE43" i="4"/>
  <c r="CA43" i="4" s="1"/>
  <c r="AE40" i="4"/>
  <c r="CA40" i="4" s="1"/>
  <c r="AE25" i="4"/>
  <c r="CA25" i="4" s="1"/>
  <c r="CB25" i="4" s="1"/>
  <c r="CC25" i="4" s="1"/>
  <c r="BV259" i="4"/>
  <c r="AF45" i="4"/>
  <c r="AG45" i="4" s="1"/>
  <c r="AE18" i="4"/>
  <c r="AG18" i="4" s="1"/>
  <c r="CA62" i="4"/>
  <c r="CB62" i="4" s="1"/>
  <c r="CC62" i="4" s="1"/>
  <c r="AF33" i="4"/>
  <c r="AG33" i="4" s="1"/>
  <c r="AF35" i="4"/>
  <c r="AG35" i="4" s="1"/>
  <c r="AF23" i="4"/>
  <c r="AG23" i="4" s="1"/>
  <c r="AE17" i="4"/>
  <c r="CA17" i="4" s="1"/>
  <c r="AE21" i="4"/>
  <c r="AG21" i="4" s="1"/>
  <c r="AF38" i="4"/>
  <c r="AG38" i="4" s="1"/>
  <c r="BB59" i="4"/>
  <c r="AF39" i="4"/>
  <c r="AG39" i="4" s="1"/>
  <c r="AG79" i="4"/>
  <c r="BW259" i="4"/>
  <c r="BX259" i="4" s="1"/>
  <c r="BV261" i="4"/>
  <c r="CA23" i="4"/>
  <c r="CB23" i="4" s="1"/>
  <c r="CC23" i="4" s="1"/>
  <c r="AO16" i="4"/>
  <c r="BW260" i="4"/>
  <c r="BX260" i="4" s="1"/>
  <c r="BV265" i="4"/>
  <c r="CA58" i="4"/>
  <c r="CB58" i="4" s="1"/>
  <c r="CC58" i="4" s="1"/>
  <c r="BS38" i="4"/>
  <c r="AO26" i="4"/>
  <c r="AU27" i="4"/>
  <c r="AV27" i="4" s="1"/>
  <c r="AW27" i="4" s="1"/>
  <c r="BS56" i="4"/>
  <c r="AO46" i="4"/>
  <c r="BS58" i="4"/>
  <c r="CA33" i="4"/>
  <c r="AG54" i="4"/>
  <c r="BS41" i="4"/>
  <c r="BS62" i="4"/>
  <c r="BW262" i="4"/>
  <c r="BX262" i="4" s="1"/>
  <c r="CA46" i="4"/>
  <c r="CB46" i="4" s="1"/>
  <c r="CC46" i="4" s="1"/>
  <c r="CA54" i="4"/>
  <c r="CB54" i="4" s="1"/>
  <c r="CC54" i="4" s="1"/>
  <c r="BV264" i="4"/>
  <c r="AG56" i="4"/>
  <c r="CC83" i="4"/>
  <c r="BW258" i="4"/>
  <c r="BX258" i="4" s="1"/>
  <c r="BW261" i="4"/>
  <c r="BX261" i="4" s="1"/>
  <c r="BV256" i="4"/>
  <c r="BW265" i="4"/>
  <c r="BX265" i="4" s="1"/>
  <c r="BV258" i="4"/>
  <c r="BW257" i="4"/>
  <c r="BX257" i="4" s="1"/>
  <c r="CA39" i="4"/>
  <c r="CB39" i="4" s="1"/>
  <c r="CC39" i="4" s="1"/>
  <c r="BS54" i="4"/>
  <c r="BS37" i="4"/>
  <c r="AO19" i="4"/>
  <c r="AW19" i="4"/>
  <c r="BS40" i="4"/>
  <c r="AW43" i="4"/>
  <c r="BS42" i="4"/>
  <c r="AW17" i="4"/>
  <c r="AW40" i="4"/>
  <c r="AO34" i="4"/>
  <c r="AW38" i="4"/>
  <c r="AO58" i="4"/>
  <c r="BS22" i="4"/>
  <c r="AO57" i="4"/>
  <c r="AW34" i="4"/>
  <c r="BS34" i="4"/>
  <c r="AO38" i="4"/>
  <c r="AO40" i="4"/>
  <c r="AU44" i="4"/>
  <c r="AV44" i="4" s="1"/>
  <c r="AW37" i="4"/>
  <c r="AO22" i="4"/>
  <c r="BS35" i="4"/>
  <c r="BS39" i="4"/>
  <c r="BW264" i="4"/>
  <c r="BX264" i="4" s="1"/>
  <c r="AO39" i="4"/>
  <c r="BX28" i="4"/>
  <c r="BY24" i="4"/>
  <c r="BZ24" i="4" s="1"/>
  <c r="AO56" i="4"/>
  <c r="CA56" i="4"/>
  <c r="AW57" i="4"/>
  <c r="BI28" i="4"/>
  <c r="BJ24" i="4"/>
  <c r="BK24" i="4" s="1"/>
  <c r="AO17" i="4"/>
  <c r="AW35" i="4"/>
  <c r="AG80" i="4"/>
  <c r="BX48" i="4"/>
  <c r="BY44" i="4"/>
  <c r="CA95" i="4"/>
  <c r="AG95" i="4"/>
  <c r="AE96" i="4"/>
  <c r="BC24" i="4"/>
  <c r="BD24" i="4" s="1"/>
  <c r="AM44" i="4"/>
  <c r="BW263" i="4"/>
  <c r="BX263" i="4" s="1"/>
  <c r="BQ44" i="4"/>
  <c r="BS33" i="4"/>
  <c r="AE47" i="4"/>
  <c r="CA45" i="4"/>
  <c r="AO25" i="4"/>
  <c r="AM27" i="4"/>
  <c r="AG82" i="4"/>
  <c r="BS25" i="4"/>
  <c r="BQ27" i="4"/>
  <c r="AM47" i="4"/>
  <c r="AO45" i="4"/>
  <c r="BC44" i="4"/>
  <c r="AO42" i="4"/>
  <c r="BJ47" i="4"/>
  <c r="BK47" i="4" s="1"/>
  <c r="CA60" i="4"/>
  <c r="AG60" i="4"/>
  <c r="AM24" i="4"/>
  <c r="AO55" i="4"/>
  <c r="BR47" i="4"/>
  <c r="BS47" i="4" s="1"/>
  <c r="BS21" i="4"/>
  <c r="AW22" i="4"/>
  <c r="BT266" i="4"/>
  <c r="BT267" i="4"/>
  <c r="AW45" i="4"/>
  <c r="AU47" i="4"/>
  <c r="BU266" i="4"/>
  <c r="BU267" i="4"/>
  <c r="AW55" i="4"/>
  <c r="BS16" i="4"/>
  <c r="BQ24" i="4"/>
  <c r="AW60" i="4"/>
  <c r="BV263" i="4"/>
  <c r="AO60" i="4"/>
  <c r="AU24" i="4"/>
  <c r="AU96" i="4"/>
  <c r="AW95" i="4"/>
  <c r="BV257" i="4"/>
  <c r="D10" i="7"/>
  <c r="D9" i="7"/>
  <c r="AN96" i="4"/>
  <c r="AO96" i="4" s="1"/>
  <c r="CA38" i="4"/>
  <c r="AU59" i="4"/>
  <c r="AW53" i="4"/>
  <c r="CA35" i="4"/>
  <c r="CA57" i="4"/>
  <c r="AG57" i="4"/>
  <c r="BS17" i="4"/>
  <c r="BI48" i="4"/>
  <c r="CA19" i="4"/>
  <c r="AG19" i="4"/>
  <c r="CA16" i="4"/>
  <c r="BJ27" i="4"/>
  <c r="BK27" i="4" s="1"/>
  <c r="BS19" i="4"/>
  <c r="CA53" i="4"/>
  <c r="AG53" i="4"/>
  <c r="AE59" i="4"/>
  <c r="AM59" i="4"/>
  <c r="BS53" i="4"/>
  <c r="BQ59" i="4"/>
  <c r="CA55" i="4"/>
  <c r="AG55" i="4"/>
  <c r="BQ96" i="4"/>
  <c r="BS95" i="4"/>
  <c r="CA78" i="4" l="1"/>
  <c r="CA89" i="4" s="1"/>
  <c r="AG78" i="4"/>
  <c r="AE89" i="4"/>
  <c r="C7" i="7" s="1"/>
  <c r="CA37" i="4"/>
  <c r="CA42" i="4"/>
  <c r="CB42" i="4" s="1"/>
  <c r="CC42" i="4" s="1"/>
  <c r="CA34" i="4"/>
  <c r="CB34" i="4" s="1"/>
  <c r="CC34" i="4" s="1"/>
  <c r="BB48" i="4"/>
  <c r="BB73" i="4" s="1"/>
  <c r="BC27" i="4"/>
  <c r="BD27" i="4" s="1"/>
  <c r="AG43" i="4"/>
  <c r="CA36" i="4"/>
  <c r="CB36" i="4" s="1"/>
  <c r="CC36" i="4" s="1"/>
  <c r="CB20" i="4"/>
  <c r="CC20" i="4" s="1"/>
  <c r="AG41" i="4"/>
  <c r="AE73" i="4"/>
  <c r="AF73" i="4" s="1"/>
  <c r="AG73" i="4" s="1"/>
  <c r="AF72" i="4"/>
  <c r="AG72" i="4" s="1"/>
  <c r="CA72" i="4"/>
  <c r="CB72" i="4" s="1"/>
  <c r="CC72" i="4" s="1"/>
  <c r="CB65" i="4"/>
  <c r="CC65" i="4" s="1"/>
  <c r="BX73" i="4"/>
  <c r="BX99" i="4" s="1"/>
  <c r="BI73" i="4"/>
  <c r="G6" i="7" s="1"/>
  <c r="BI99" i="4"/>
  <c r="BC59" i="4"/>
  <c r="BD59" i="4" s="1"/>
  <c r="CB33" i="4"/>
  <c r="CC33" i="4" s="1"/>
  <c r="AE44" i="4"/>
  <c r="AE48" i="4" s="1"/>
  <c r="AG40" i="4"/>
  <c r="CA64" i="4"/>
  <c r="CA18" i="4"/>
  <c r="CB18" i="4" s="1"/>
  <c r="CC18" i="4" s="1"/>
  <c r="CA22" i="4"/>
  <c r="CB22" i="4" s="1"/>
  <c r="CC22" i="4" s="1"/>
  <c r="AE24" i="4"/>
  <c r="AG17" i="4"/>
  <c r="AE27" i="4"/>
  <c r="AF27" i="4" s="1"/>
  <c r="AG27" i="4" s="1"/>
  <c r="AG25" i="4"/>
  <c r="CA21" i="4"/>
  <c r="CB21" i="4" s="1"/>
  <c r="CC21" i="4" s="1"/>
  <c r="CA27" i="4"/>
  <c r="CB27" i="4" s="1"/>
  <c r="CC27" i="4" s="1"/>
  <c r="BU269" i="4"/>
  <c r="E7" i="7"/>
  <c r="BR27" i="4"/>
  <c r="BS27" i="4" s="1"/>
  <c r="AV24" i="4"/>
  <c r="AW24" i="4" s="1"/>
  <c r="AU28" i="4"/>
  <c r="CB43" i="4"/>
  <c r="CC43" i="4" s="1"/>
  <c r="CB37" i="4"/>
  <c r="CC37" i="4" s="1"/>
  <c r="AF47" i="4"/>
  <c r="AG47" i="4" s="1"/>
  <c r="H10" i="7"/>
  <c r="H9" i="7"/>
  <c r="BR96" i="4"/>
  <c r="BS96" i="4" s="1"/>
  <c r="CB19" i="4"/>
  <c r="CC19" i="4" s="1"/>
  <c r="AV47" i="4"/>
  <c r="AW47" i="4" s="1"/>
  <c r="BT269" i="4"/>
  <c r="CC82" i="4"/>
  <c r="G4" i="7"/>
  <c r="BJ28" i="4"/>
  <c r="BK28" i="4" s="1"/>
  <c r="BY28" i="4"/>
  <c r="BZ28" i="4" s="1"/>
  <c r="AN44" i="4"/>
  <c r="AM48" i="4"/>
  <c r="CC80" i="4"/>
  <c r="CB53" i="4"/>
  <c r="CC53" i="4" s="1"/>
  <c r="CA59" i="4"/>
  <c r="G5" i="7"/>
  <c r="BJ48" i="4"/>
  <c r="BK48" i="4" s="1"/>
  <c r="CB17" i="4"/>
  <c r="CC17" i="4" s="1"/>
  <c r="CB40" i="4"/>
  <c r="CC40" i="4" s="1"/>
  <c r="D7" i="7"/>
  <c r="AN24" i="4"/>
  <c r="AO24" i="4" s="1"/>
  <c r="AM28" i="4"/>
  <c r="CB56" i="4"/>
  <c r="CC56" i="4" s="1"/>
  <c r="AN47" i="4"/>
  <c r="AO47" i="4" s="1"/>
  <c r="CC79" i="4"/>
  <c r="AF59" i="4"/>
  <c r="AG59" i="4" s="1"/>
  <c r="CB35" i="4"/>
  <c r="CC35" i="4" s="1"/>
  <c r="CB38" i="4"/>
  <c r="CC38" i="4" s="1"/>
  <c r="BR24" i="4"/>
  <c r="BS24" i="4" s="1"/>
  <c r="BQ28" i="4"/>
  <c r="AN59" i="4"/>
  <c r="AO59" i="4" s="1"/>
  <c r="CA47" i="4"/>
  <c r="CB45" i="4"/>
  <c r="CC45" i="4" s="1"/>
  <c r="H7" i="7"/>
  <c r="BQ48" i="4"/>
  <c r="BR44" i="4"/>
  <c r="CB55" i="4"/>
  <c r="CC55" i="4" s="1"/>
  <c r="AV59" i="4"/>
  <c r="AW59" i="4" s="1"/>
  <c r="BR59" i="4"/>
  <c r="BS59" i="4" s="1"/>
  <c r="CB57" i="4"/>
  <c r="CC57" i="4" s="1"/>
  <c r="CB60" i="4"/>
  <c r="CC60" i="4" s="1"/>
  <c r="AU48" i="4"/>
  <c r="AN27" i="4"/>
  <c r="AO27" i="4" s="1"/>
  <c r="C10" i="7"/>
  <c r="C9" i="7"/>
  <c r="AF96" i="4"/>
  <c r="AG96" i="4" s="1"/>
  <c r="BY48" i="4"/>
  <c r="BZ48" i="4" s="1"/>
  <c r="CB95" i="4"/>
  <c r="CC95" i="4" s="1"/>
  <c r="CA96" i="4"/>
  <c r="CB16" i="4"/>
  <c r="CC16" i="4" s="1"/>
  <c r="E9" i="7"/>
  <c r="E10" i="7"/>
  <c r="AV96" i="4"/>
  <c r="AW96" i="4" s="1"/>
  <c r="F4" i="7"/>
  <c r="BC28" i="4"/>
  <c r="BD28" i="4" s="1"/>
  <c r="CC78" i="4" l="1"/>
  <c r="BC48" i="4"/>
  <c r="BD48" i="4" s="1"/>
  <c r="F5" i="7"/>
  <c r="AG89" i="4"/>
  <c r="CA44" i="4"/>
  <c r="CB44" i="4" s="1"/>
  <c r="CC44" i="4" s="1"/>
  <c r="D29" i="7"/>
  <c r="BY73" i="4"/>
  <c r="BZ73" i="4" s="1"/>
  <c r="BQ73" i="4"/>
  <c r="BJ73" i="4"/>
  <c r="BK73" i="4" s="1"/>
  <c r="CA73" i="4"/>
  <c r="AE28" i="4"/>
  <c r="C4" i="7" s="1"/>
  <c r="AU73" i="4"/>
  <c r="E6" i="7" s="1"/>
  <c r="AF24" i="4"/>
  <c r="AG24" i="4" s="1"/>
  <c r="BR73" i="4"/>
  <c r="BS73" i="4" s="1"/>
  <c r="D30" i="7"/>
  <c r="BQ99" i="4"/>
  <c r="AF44" i="4"/>
  <c r="AM73" i="4"/>
  <c r="AM99" i="4" s="1"/>
  <c r="BB99" i="4"/>
  <c r="D28" i="7"/>
  <c r="BC73" i="4"/>
  <c r="BD73" i="4" s="1"/>
  <c r="F6" i="7"/>
  <c r="CB64" i="4"/>
  <c r="CC64" i="4" s="1"/>
  <c r="CA24" i="4"/>
  <c r="CA28" i="4" s="1"/>
  <c r="CB47" i="4"/>
  <c r="CC47" i="4" s="1"/>
  <c r="D5" i="7"/>
  <c r="AN48" i="4"/>
  <c r="AO48" i="4" s="1"/>
  <c r="G8" i="7"/>
  <c r="E5" i="7"/>
  <c r="AV48" i="4"/>
  <c r="AW48" i="4" s="1"/>
  <c r="I7" i="7"/>
  <c r="CB89" i="4"/>
  <c r="I10" i="7"/>
  <c r="I9" i="7"/>
  <c r="CB96" i="4"/>
  <c r="H5" i="7"/>
  <c r="BR48" i="4"/>
  <c r="BS48" i="4" s="1"/>
  <c r="H4" i="7"/>
  <c r="BR28" i="4"/>
  <c r="BS28" i="4" s="1"/>
  <c r="H6" i="7"/>
  <c r="CB59" i="4"/>
  <c r="CC59" i="4" s="1"/>
  <c r="CB73" i="4" s="1"/>
  <c r="CC73" i="4" s="1"/>
  <c r="E4" i="7"/>
  <c r="AV28" i="4"/>
  <c r="AW28" i="4" s="1"/>
  <c r="F8" i="7"/>
  <c r="C5" i="7"/>
  <c r="AF48" i="4"/>
  <c r="AG48" i="4" s="1"/>
  <c r="C6" i="7"/>
  <c r="D4" i="7"/>
  <c r="AN28" i="4"/>
  <c r="AO28" i="4" s="1"/>
  <c r="CA48" i="4" l="1"/>
  <c r="AE90" i="4"/>
  <c r="C8" i="7" s="1"/>
  <c r="AV73" i="4"/>
  <c r="AW73" i="4" s="1"/>
  <c r="D27" i="7"/>
  <c r="AU99" i="4"/>
  <c r="AF28" i="4"/>
  <c r="AG28" i="4" s="1"/>
  <c r="D26" i="7"/>
  <c r="AN73" i="4"/>
  <c r="AO73" i="4" s="1"/>
  <c r="D6" i="7"/>
  <c r="CB24" i="4"/>
  <c r="CC24" i="4" s="1"/>
  <c r="CB28" i="4" s="1"/>
  <c r="H8" i="7"/>
  <c r="C18" i="7"/>
  <c r="G11" i="7"/>
  <c r="D42" i="7"/>
  <c r="BJ99" i="4"/>
  <c r="BK99" i="4" s="1"/>
  <c r="I4" i="7"/>
  <c r="CA90" i="4"/>
  <c r="CC89" i="4"/>
  <c r="D8" i="7"/>
  <c r="D41" i="7"/>
  <c r="F11" i="7"/>
  <c r="BC99" i="4"/>
  <c r="BD99" i="4" s="1"/>
  <c r="BY99" i="4"/>
  <c r="BZ99" i="4" s="1"/>
  <c r="I5" i="7"/>
  <c r="CB48" i="4"/>
  <c r="E8" i="7"/>
  <c r="I6" i="7"/>
  <c r="CC96" i="4"/>
  <c r="D25" i="7" l="1"/>
  <c r="C25" i="7" s="1"/>
  <c r="AE99" i="4"/>
  <c r="C11" i="7" s="1"/>
  <c r="AG90" i="4"/>
  <c r="D39" i="7"/>
  <c r="D11" i="7"/>
  <c r="AN99" i="4"/>
  <c r="AO99" i="4" s="1"/>
  <c r="C30" i="7"/>
  <c r="C26" i="7"/>
  <c r="C27" i="7"/>
  <c r="CC28" i="4"/>
  <c r="CB90" i="4" s="1"/>
  <c r="D40" i="7"/>
  <c r="E11" i="7"/>
  <c r="AV99" i="4"/>
  <c r="AW99" i="4" s="1"/>
  <c r="I8" i="7"/>
  <c r="CA99" i="4"/>
  <c r="CC48" i="4"/>
  <c r="D43" i="7"/>
  <c r="H11" i="7"/>
  <c r="BR99" i="4"/>
  <c r="BS99" i="4" s="1"/>
  <c r="D31" i="7" l="1"/>
  <c r="E27" i="7" s="1"/>
  <c r="AF99" i="4"/>
  <c r="AG99" i="4" s="1"/>
  <c r="D38" i="7"/>
  <c r="C38" i="7" s="1"/>
  <c r="CB99" i="4"/>
  <c r="C40" i="7"/>
  <c r="C17" i="7"/>
  <c r="C19" i="7" s="1"/>
  <c r="C43" i="7"/>
  <c r="I11" i="7"/>
  <c r="J8" i="7" s="1"/>
  <c r="C39" i="7"/>
  <c r="E26" i="7" l="1"/>
  <c r="E28" i="7"/>
  <c r="E29" i="7"/>
  <c r="E25" i="7"/>
  <c r="E30" i="7"/>
  <c r="D44" i="7"/>
  <c r="E38" i="7" s="1"/>
  <c r="CC90" i="4"/>
  <c r="J11" i="7"/>
  <c r="J10" i="7"/>
  <c r="J7" i="7"/>
  <c r="J9" i="7"/>
  <c r="J4" i="7"/>
  <c r="J5" i="7"/>
  <c r="J6" i="7"/>
  <c r="E31" i="7" l="1"/>
  <c r="E40" i="7"/>
  <c r="E42" i="7"/>
  <c r="E41" i="7"/>
  <c r="E43" i="7"/>
  <c r="E39" i="7"/>
  <c r="CC99" i="4"/>
  <c r="E4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80123558</author>
    <author>Kevin Moises Polo Rodriguez</author>
    <author>Gabriela Marie Santamaría George</author>
    <author>tc={1E9E0D09-D7B9-4D80-B18B-37DF2B908545}</author>
    <author>MARGIE</author>
    <author>Raul Gutierrez</author>
    <author>Isaias Martínez</author>
  </authors>
  <commentList>
    <comment ref="B14" authorId="0" shapeId="0" xr:uid="{00000000-0006-0000-0100-000001000000}">
      <text>
        <r>
          <rPr>
            <b/>
            <sz val="9"/>
            <rFont val="Tahoma"/>
            <family val="2"/>
          </rPr>
          <t>HCP:</t>
        </r>
        <r>
          <rPr>
            <sz val="9"/>
            <rFont val="Tahoma"/>
            <family val="2"/>
          </rPr>
          <t xml:space="preserve">
Identifique las fuentes de emisión que correspondan a su proyecto y los datos de actividad requeridos para el diligenciamiento de la herramienta.</t>
        </r>
      </text>
    </comment>
    <comment ref="E14" authorId="1" shapeId="0" xr:uid="{00000000-0006-0000-0100-000004000000}">
      <text>
        <r>
          <rPr>
            <b/>
            <sz val="9"/>
            <color indexed="81"/>
            <rFont val="Tahoma"/>
            <family val="2"/>
          </rPr>
          <t>HCP:</t>
        </r>
        <r>
          <rPr>
            <sz val="9"/>
            <rFont val="Tahoma"/>
            <family val="2"/>
          </rPr>
          <t xml:space="preserve">
Despliegue la lista y seleccione la categoría de datos de actividad asociada al consumo.</t>
        </r>
      </text>
    </comment>
    <comment ref="CA14" authorId="1" shapeId="0" xr:uid="{00000000-0006-0000-0100-000005000000}">
      <text>
        <r>
          <rPr>
            <b/>
            <sz val="9"/>
            <rFont val="Tahoma"/>
            <family val="2"/>
          </rPr>
          <t>80123558:</t>
        </r>
        <r>
          <rPr>
            <sz val="9"/>
            <rFont val="Tahoma"/>
            <family val="2"/>
          </rPr>
          <t xml:space="preserve">
Devuelve el valor de las emisiones de GEI asociadas a la variable elegida.</t>
        </r>
      </text>
    </comment>
    <comment ref="CB14" authorId="1" shapeId="0" xr:uid="{00000000-0006-0000-0100-000006000000}">
      <text>
        <r>
          <rPr>
            <b/>
            <sz val="9"/>
            <rFont val="Tahoma"/>
            <family val="2"/>
          </rPr>
          <t>80123558:</t>
        </r>
        <r>
          <rPr>
            <sz val="9"/>
            <rFont val="Tahoma"/>
            <family val="2"/>
          </rPr>
          <t xml:space="preserve">
Devuelve el valor de la incertidumbre estimada, asociada al calculo de las emisiones de GEI de la variable elegida.</t>
        </r>
      </text>
    </comment>
    <comment ref="F15" authorId="1" shapeId="0" xr:uid="{00000000-0006-0000-0100-000007000000}">
      <text>
        <r>
          <rPr>
            <b/>
            <sz val="9"/>
            <rFont val="Tahoma"/>
            <family val="2"/>
          </rPr>
          <t>HCP:</t>
        </r>
        <r>
          <rPr>
            <sz val="9"/>
            <rFont val="Tahoma"/>
            <family val="2"/>
          </rPr>
          <t xml:space="preserve">
Indica la unidad en la que deben ser consignados los datos de consumo asociados a la variable elegida en la columna anterior.</t>
        </r>
      </text>
    </comment>
    <comment ref="G15" authorId="1" shapeId="0" xr:uid="{00000000-0006-0000-0100-000008000000}">
      <text>
        <r>
          <rPr>
            <b/>
            <sz val="9"/>
            <rFont val="Tahoma"/>
            <family val="2"/>
          </rPr>
          <t xml:space="preserve">HCP:
</t>
        </r>
        <r>
          <rPr>
            <sz val="9"/>
            <rFont val="Tahoma"/>
            <family val="2"/>
          </rPr>
          <t>Incluya el valor del primer (o único) dato asociado a la variable correspondiente, en las unidades descritas en la columna "UNIDAD".</t>
        </r>
      </text>
    </comment>
    <comment ref="H15" authorId="1" shapeId="0" xr:uid="{00000000-0006-0000-0100-000009000000}">
      <text>
        <r>
          <rPr>
            <b/>
            <sz val="9"/>
            <color indexed="81"/>
            <rFont val="Tahoma"/>
            <family val="2"/>
          </rPr>
          <t>HCP:</t>
        </r>
        <r>
          <rPr>
            <sz val="9"/>
            <rFont val="Tahoma"/>
            <family val="2"/>
          </rPr>
          <t xml:space="preserve">
Incluya el valor del segundo dato asociado a la variable correspondiente, en las unidades descritas en la columna "UNIDAD". Si solamente cuenta con un dato asociado a esta variable para el calculo de las emisiones anuales, no diligencie esta casilla (es importante que no se usen ceros en la casilla, o la herramienta asumirá el cero como un dato)</t>
        </r>
      </text>
    </comment>
    <comment ref="I15" authorId="1" shapeId="0" xr:uid="{00000000-0006-0000-0100-00000A000000}">
      <text>
        <r>
          <rPr>
            <b/>
            <sz val="9"/>
            <rFont val="Tahoma"/>
            <family val="2"/>
          </rPr>
          <t>HCP:</t>
        </r>
        <r>
          <rPr>
            <sz val="9"/>
            <rFont val="Tahoma"/>
            <family val="2"/>
          </rPr>
          <t xml:space="preserve">
Incluya el valor del tercer dato asociado a la variable correspondiente, en las unidades descritas en la columna "UNIDAD". Si solamente cuenta con dos datos asociados a esta variable para el calculo de las emisiones anuales, no diligencie esta casilla (es importante que no se usen ceros en la casilla, o la herramienta asumirá el cero como un dato)</t>
        </r>
      </text>
    </comment>
    <comment ref="J15" authorId="1" shapeId="0" xr:uid="{00000000-0006-0000-0100-00000B000000}">
      <text>
        <r>
          <rPr>
            <b/>
            <sz val="9"/>
            <rFont val="Tahoma"/>
            <family val="2"/>
          </rPr>
          <t>HCP:</t>
        </r>
        <r>
          <rPr>
            <sz val="9"/>
            <rFont val="Tahoma"/>
            <family val="2"/>
          </rPr>
          <t xml:space="preserve">
Incluya el valor del cuarto dato asociado a la variable correspondiente, en las unidades descritas en la columna "UNIDAD". Si solamente cuenta con tres datos asociados a esta variable para el calculo de las emisiones anuales, no diligencie esta casilla (es importante que no se usen ceros en la casilla, o la herramienta asumirá el cero como un dato</t>
        </r>
      </text>
    </comment>
    <comment ref="K15" authorId="1" shapeId="0" xr:uid="{00000000-0006-0000-0100-00000C000000}">
      <text>
        <r>
          <rPr>
            <b/>
            <sz val="9"/>
            <rFont val="Tahoma"/>
            <family val="2"/>
          </rPr>
          <t>HCP:</t>
        </r>
        <r>
          <rPr>
            <sz val="9"/>
            <rFont val="Tahoma"/>
            <family val="2"/>
          </rPr>
          <t xml:space="preserve">
Incluya el valor del quinto dato asociado a la variable correspondiente, en las unidades descritas en la columna "UNIDAD". Si solamente cuenta con cuatro datos asociados a esta variable para el calculo de las emisiones anuales, no diligencie esta casilla (es importante que no se usen ceros en la casilla, o la herramienta asumirá el cero como un dato</t>
        </r>
      </text>
    </comment>
    <comment ref="L15" authorId="1" shapeId="0" xr:uid="{00000000-0006-0000-0100-00000D000000}">
      <text>
        <r>
          <rPr>
            <b/>
            <sz val="9"/>
            <rFont val="Tahoma"/>
            <family val="2"/>
          </rPr>
          <t>HCP:</t>
        </r>
        <r>
          <rPr>
            <sz val="9"/>
            <rFont val="Tahoma"/>
            <family val="2"/>
          </rPr>
          <t xml:space="preserve">
Incluya el valor del sexto dato asociado a la variable correspondiente, en las unidades descritas en la columna "UNIDAD". Si solamente cuenta con cinco datos asociados a esta variable para el calculo de las emisiones anuales, no diligencie esta casilla (es importante que no se usen ceros en la casilla, o la herramienta asumirá el cero como un dato</t>
        </r>
      </text>
    </comment>
    <comment ref="M15" authorId="1" shapeId="0" xr:uid="{00000000-0006-0000-0100-00000E000000}">
      <text>
        <r>
          <rPr>
            <b/>
            <sz val="9"/>
            <rFont val="Tahoma"/>
            <family val="2"/>
          </rPr>
          <t>HCP:</t>
        </r>
        <r>
          <rPr>
            <sz val="9"/>
            <rFont val="Tahoma"/>
            <family val="2"/>
          </rPr>
          <t xml:space="preserve">
Incluya el valor del séptimo dato asociado a la variable correspondiente, en las unidades descritas en la columna "UNIDAD". Si solamente cuenta con seis datos asociados a esta variable para el calculo de las emisiones anuales, no diligencie esta casilla (es importante que no se usen ceros en la casilla, o la herramienta asumirá el cero como un dato</t>
        </r>
      </text>
    </comment>
    <comment ref="N15" authorId="1" shapeId="0" xr:uid="{00000000-0006-0000-0100-00000F000000}">
      <text>
        <r>
          <rPr>
            <b/>
            <sz val="9"/>
            <rFont val="Tahoma"/>
            <family val="2"/>
          </rPr>
          <t>HCP:</t>
        </r>
        <r>
          <rPr>
            <sz val="9"/>
            <rFont val="Tahoma"/>
            <family val="2"/>
          </rPr>
          <t xml:space="preserve">
Incluya el valor del octavo dato asociado a la variable correspondiente, en las unidades descritas en la columna "UNIDAD". Si solamente cuenta con siete datos asociados a esta variable para el calculo de las emisiones anuales, no diligencie esta casilla (es importante que no se usen ceros en la casilla, o la herramienta asumirá el cero como un dato</t>
        </r>
      </text>
    </comment>
    <comment ref="O15" authorId="1" shapeId="0" xr:uid="{00000000-0006-0000-0100-000010000000}">
      <text>
        <r>
          <rPr>
            <b/>
            <sz val="9"/>
            <rFont val="Tahoma"/>
            <family val="2"/>
          </rPr>
          <t>HCP:</t>
        </r>
        <r>
          <rPr>
            <sz val="9"/>
            <rFont val="Tahoma"/>
            <family val="2"/>
          </rPr>
          <t xml:space="preserve">
Incluya el valor del noveno dato asociado a la variable correspondiente, en las unidades descritas en la columna "UNIDAD". Si solamente cuenta con ocho datos asociados a esta variable para el calculo de las emisiones anuales, no diligencie esta casilla (es importante que no se usen ceros en la casilla, o la herramienta asumirá el cero como un dato</t>
        </r>
      </text>
    </comment>
    <comment ref="P15" authorId="1" shapeId="0" xr:uid="{00000000-0006-0000-0100-000011000000}">
      <text>
        <r>
          <rPr>
            <b/>
            <sz val="9"/>
            <rFont val="Tahoma"/>
            <family val="2"/>
          </rPr>
          <t>HCP:</t>
        </r>
        <r>
          <rPr>
            <sz val="9"/>
            <rFont val="Tahoma"/>
            <family val="2"/>
          </rPr>
          <t xml:space="preserve">
Incluya el valor del decimo dato asociado a la variable correspondiente, en las unidades descritas en la columna "UNIDAD". Si solamente cuenta con nueve datos asociados a esta variable para el calculo de las emisiones anuales, no diligencie esta casilla (es importante que no se usen ceros en la casilla, o la herramienta asumirá el cero como un dato</t>
        </r>
      </text>
    </comment>
    <comment ref="Q15" authorId="1" shapeId="0" xr:uid="{00000000-0006-0000-0100-000012000000}">
      <text>
        <r>
          <rPr>
            <b/>
            <sz val="9"/>
            <rFont val="Tahoma"/>
            <family val="2"/>
          </rPr>
          <t>HCP:</t>
        </r>
        <r>
          <rPr>
            <sz val="9"/>
            <rFont val="Tahoma"/>
            <family val="2"/>
          </rPr>
          <t xml:space="preserve">
Incluya el valor del undécimo dato asociado a la variable correspondiente, en las unidades descritas en la columna "UNIDAD". Si solamente cuenta con diez datos asociados a esta variable para el calculo de las emisiones anuales, no diligencie esta casilla (es importante que no se usen ceros en la casilla, o la herramienta asumirá el cero como un dato</t>
        </r>
      </text>
    </comment>
    <comment ref="R15" authorId="1" shapeId="0" xr:uid="{00000000-0006-0000-0100-000013000000}">
      <text>
        <r>
          <rPr>
            <b/>
            <sz val="9"/>
            <rFont val="Tahoma"/>
            <family val="2"/>
          </rPr>
          <t>HCP:</t>
        </r>
        <r>
          <rPr>
            <sz val="9"/>
            <rFont val="Tahoma"/>
            <family val="2"/>
          </rPr>
          <t xml:space="preserve">
Incluya el valor del duodécimo dato asociado a la variable correspondiente, en las unidades descritas en la columna "UNIDAD". Si solamente cuenta con once datos asociados a esta variable para el calculo de las emisiones anuales, no diligencie esta casilla (es importante que no se usen ceros en la casilla, o la herramienta asumirá el cero como un dato.
Si su medición contempla el uso de mas de doce datos en el periodo estimado, por favor consulte esta situación a los responsables del proyecto MVC.</t>
        </r>
      </text>
    </comment>
    <comment ref="S15" authorId="1" shapeId="0" xr:uid="{00000000-0006-0000-0100-000014000000}">
      <text>
        <r>
          <rPr>
            <b/>
            <sz val="9"/>
            <rFont val="Tahoma"/>
            <family val="2"/>
          </rPr>
          <t>80123558:</t>
        </r>
        <r>
          <rPr>
            <sz val="9"/>
            <rFont val="Tahoma"/>
            <family val="2"/>
          </rPr>
          <t xml:space="preserve">
Devuelve el valor total del consumo asociado a cada variable.</t>
        </r>
      </text>
    </comment>
    <comment ref="T15" authorId="1" shapeId="0" xr:uid="{00000000-0006-0000-0100-000015000000}">
      <text>
        <r>
          <rPr>
            <b/>
            <sz val="9"/>
            <rFont val="Tahoma"/>
            <family val="2"/>
          </rPr>
          <t>80123558:</t>
        </r>
        <r>
          <rPr>
            <sz val="9"/>
            <rFont val="Tahoma"/>
            <family val="2"/>
          </rPr>
          <t xml:space="preserve">
Indica la cantidad de datos recogidos para calcular la Huella de Carbono asociada a cada variable. El número de datos debe estar comprendido entre un mínimo de un dato (cuando solamente se cuanta con un dato asociado a la variable en mención) y un máximo de 12 datos por cada variable (dependiendo de la disponibilidad de información de cada variable en la organización).
El numero de datos depende de la información con la que cuente la organización en sus registros. </t>
        </r>
      </text>
    </comment>
    <comment ref="U15" authorId="1" shapeId="0" xr:uid="{00000000-0006-0000-0100-000016000000}">
      <text>
        <r>
          <rPr>
            <b/>
            <sz val="9"/>
            <rFont val="Tahoma"/>
            <family val="2"/>
          </rPr>
          <t>80123558:</t>
        </r>
        <r>
          <rPr>
            <sz val="9"/>
            <rFont val="Tahoma"/>
            <family val="2"/>
          </rPr>
          <t xml:space="preserve">
Devuelve el promedio de los valores consignados en las casillas de "DATOS 1 al 12".</t>
        </r>
      </text>
    </comment>
    <comment ref="V15" authorId="1" shapeId="0" xr:uid="{00000000-0006-0000-0100-000017000000}">
      <text>
        <r>
          <rPr>
            <b/>
            <sz val="9"/>
            <rFont val="Tahoma"/>
            <family val="2"/>
          </rPr>
          <t>80123558:</t>
        </r>
        <r>
          <rPr>
            <sz val="9"/>
            <rFont val="Tahoma"/>
            <family val="2"/>
          </rPr>
          <t xml:space="preserve">
Devuelve la desviación estándar de los valores consignados en las casillas de "DATOS 1 al 12".</t>
        </r>
      </text>
    </comment>
    <comment ref="W15" authorId="1" shapeId="0" xr:uid="{00000000-0006-0000-0100-000018000000}">
      <text>
        <r>
          <rPr>
            <b/>
            <sz val="9"/>
            <rFont val="Tahoma"/>
            <family val="2"/>
          </rPr>
          <t>80123558:</t>
        </r>
        <r>
          <rPr>
            <sz val="9"/>
            <rFont val="Tahoma"/>
            <family val="2"/>
          </rPr>
          <t xml:space="preserve">
Devuelve el "factor T" de los valores consignados en las casillas de "DATOS 1 al 12". Los valores asociados a esta columna han sido propuestos por el anexo 1 de la "Guía corta para el calculo de la medición y estimación de la incertidumbre para emisiones de GHG", disponible en : http://www.ghgprotocol.org/files/ghgp/tools/ghg-uncertainty.pdf</t>
        </r>
      </text>
    </comment>
    <comment ref="X15" authorId="0" shapeId="0" xr:uid="{00000000-0006-0000-0100-000019000000}">
      <text>
        <r>
          <rPr>
            <b/>
            <sz val="9"/>
            <rFont val="Tahoma"/>
            <family val="2"/>
          </rPr>
          <t>80123558:</t>
        </r>
        <r>
          <rPr>
            <sz val="9"/>
            <rFont val="Tahoma"/>
            <family val="2"/>
          </rPr>
          <t xml:space="preserve">
Si lo conoce, indique el valor de incertidumbre asociado a los datos de actividad que está reportando, de lo contrario deje estas casillas sin diligenciar</t>
        </r>
      </text>
    </comment>
    <comment ref="Y15" authorId="1" shapeId="0" xr:uid="{00000000-0006-0000-0100-00001A000000}">
      <text>
        <r>
          <rPr>
            <b/>
            <sz val="9"/>
            <rFont val="Tahoma"/>
            <family val="2"/>
          </rPr>
          <t>80123558:</t>
        </r>
        <r>
          <rPr>
            <sz val="9"/>
            <rFont val="Tahoma"/>
            <family val="2"/>
          </rPr>
          <t xml:space="preserve">
Si la organización no conce la incertidumbre relacionada con sus datos de actividad, devuelve el porcentaje de incertidumbre asociado a los datos de actividad consignados en las casillas "DATO 1 al 12", empleados para el calculo de la Huella de Carbono de la Organización.
Si solamente se cuenta con un dato para la estimación de las emisiones de GEI, la incertidumbre de la variable corresponderá al dato propuesto por el IPCC en el documento: "Orientación del IPCC sobre las buenas prácticas y la gestión de la incertidumbre en los inventarios nacionales de gases de efecto invernadero", disponible en: http://www.ipcc-nggip.iges.or.jp/public/gp/spanish/gpgaum_es.html
Si se cuenta con dos o mas datos para la estimación de las emisiones de GEI, el resultado corresponde a la metodología propuesta por el IPCC y adoptada por el GHG  Protocol, descrita en el documento:  "Guía corta para el calculo de la medición y estimación de la incertidumbre para emisiones de GHG", disponible en : http://www.ghgprotocol.org/files/ghgp/tools/ghg-uncertainty.pdf</t>
        </r>
      </text>
    </comment>
    <comment ref="AF24" authorId="1" shapeId="0" xr:uid="{00000000-0006-0000-0100-00001B000000}">
      <text>
        <r>
          <rPr>
            <b/>
            <sz val="9"/>
            <rFont val="Tahoma"/>
            <family val="2"/>
          </rPr>
          <t>80123558:</t>
        </r>
        <r>
          <rPr>
            <sz val="9"/>
            <rFont val="Tahoma"/>
            <family val="2"/>
          </rPr>
          <t xml:space="preserve">
Devuelve el valor agregado de las incertidumbre para la categoría en referencia.</t>
        </r>
      </text>
    </comment>
    <comment ref="AN24" authorId="1" shapeId="0" xr:uid="{00000000-0006-0000-0100-00001C000000}">
      <text>
        <r>
          <rPr>
            <b/>
            <sz val="9"/>
            <rFont val="Tahoma"/>
            <family val="2"/>
          </rPr>
          <t>80123558:</t>
        </r>
        <r>
          <rPr>
            <sz val="9"/>
            <rFont val="Tahoma"/>
            <family val="2"/>
          </rPr>
          <t xml:space="preserve">
Devuelve el valor agregado de las incertidumbre para la categoría en referencia.</t>
        </r>
      </text>
    </comment>
    <comment ref="AV24" authorId="1" shapeId="0" xr:uid="{00000000-0006-0000-0100-00001D000000}">
      <text>
        <r>
          <rPr>
            <b/>
            <sz val="9"/>
            <rFont val="Tahoma"/>
            <family val="2"/>
          </rPr>
          <t>80123558:</t>
        </r>
        <r>
          <rPr>
            <sz val="9"/>
            <rFont val="Tahoma"/>
            <family val="2"/>
          </rPr>
          <t xml:space="preserve">
Devuelve el valor agregado de las incertidumbre para la categoría en referencia.</t>
        </r>
      </text>
    </comment>
    <comment ref="BC24" authorId="1" shapeId="0" xr:uid="{00000000-0006-0000-0100-00001E000000}">
      <text>
        <r>
          <rPr>
            <b/>
            <sz val="9"/>
            <rFont val="Tahoma"/>
            <family val="2"/>
          </rPr>
          <t>80123558:</t>
        </r>
        <r>
          <rPr>
            <sz val="9"/>
            <rFont val="Tahoma"/>
            <family val="2"/>
          </rPr>
          <t xml:space="preserve">
Devuelve el valor agregado de las incertidumbre para la categoría en referencia.</t>
        </r>
      </text>
    </comment>
    <comment ref="BJ24" authorId="1" shapeId="0" xr:uid="{00000000-0006-0000-0100-00001F000000}">
      <text>
        <r>
          <rPr>
            <b/>
            <sz val="9"/>
            <rFont val="Tahoma"/>
            <family val="2"/>
          </rPr>
          <t>80123558:</t>
        </r>
        <r>
          <rPr>
            <sz val="9"/>
            <rFont val="Tahoma"/>
            <family val="2"/>
          </rPr>
          <t xml:space="preserve">
Devuelve el valor agregado de las incertidumbre para la categoría en referencia.</t>
        </r>
      </text>
    </comment>
    <comment ref="BR24" authorId="1" shapeId="0" xr:uid="{00000000-0006-0000-0100-000020000000}">
      <text>
        <r>
          <rPr>
            <b/>
            <sz val="9"/>
            <rFont val="Tahoma"/>
            <family val="2"/>
          </rPr>
          <t>80123558:</t>
        </r>
        <r>
          <rPr>
            <sz val="9"/>
            <rFont val="Tahoma"/>
            <family val="2"/>
          </rPr>
          <t xml:space="preserve">
Devuelve el valor agregado de las incertidumbre para la categoría en referencia.</t>
        </r>
      </text>
    </comment>
    <comment ref="BY24" authorId="1" shapeId="0" xr:uid="{00000000-0006-0000-0100-000021000000}">
      <text>
        <r>
          <rPr>
            <b/>
            <sz val="9"/>
            <rFont val="Tahoma"/>
            <family val="2"/>
          </rPr>
          <t>80123558:</t>
        </r>
        <r>
          <rPr>
            <sz val="9"/>
            <rFont val="Tahoma"/>
            <family val="2"/>
          </rPr>
          <t xml:space="preserve">
Devuelve el valor agregado de las incertidumbre para la categoría en referencia.</t>
        </r>
      </text>
    </comment>
    <comment ref="CB24" authorId="1" shapeId="0" xr:uid="{00000000-0006-0000-0100-000022000000}">
      <text>
        <r>
          <rPr>
            <b/>
            <sz val="9"/>
            <rFont val="Tahoma"/>
            <family val="2"/>
          </rPr>
          <t>80123558:</t>
        </r>
        <r>
          <rPr>
            <sz val="9"/>
            <rFont val="Tahoma"/>
            <family val="2"/>
          </rPr>
          <t xml:space="preserve">
Devuelve el valor agregado de las incertidumbre para la categoría en referencia.</t>
        </r>
      </text>
    </comment>
    <comment ref="AF27" authorId="1" shapeId="0" xr:uid="{00000000-0006-0000-0100-000023000000}">
      <text>
        <r>
          <rPr>
            <b/>
            <sz val="9"/>
            <rFont val="Tahoma"/>
            <family val="2"/>
          </rPr>
          <t>80123558:</t>
        </r>
        <r>
          <rPr>
            <sz val="9"/>
            <rFont val="Tahoma"/>
            <family val="2"/>
          </rPr>
          <t xml:space="preserve">
Devuelve el valor agregado de las incertidumbre para la categoría en referencia.</t>
        </r>
      </text>
    </comment>
    <comment ref="AN27" authorId="1" shapeId="0" xr:uid="{00000000-0006-0000-0100-000024000000}">
      <text>
        <r>
          <rPr>
            <b/>
            <sz val="9"/>
            <rFont val="Tahoma"/>
            <family val="2"/>
          </rPr>
          <t>80123558:</t>
        </r>
        <r>
          <rPr>
            <sz val="9"/>
            <rFont val="Tahoma"/>
            <family val="2"/>
          </rPr>
          <t xml:space="preserve">
Devuelve el valor agregado de las incertidumbre para la categoría en referencia.</t>
        </r>
      </text>
    </comment>
    <comment ref="AV27" authorId="1" shapeId="0" xr:uid="{00000000-0006-0000-0100-000025000000}">
      <text>
        <r>
          <rPr>
            <b/>
            <sz val="9"/>
            <rFont val="Tahoma"/>
            <family val="2"/>
          </rPr>
          <t>80123558:</t>
        </r>
        <r>
          <rPr>
            <sz val="9"/>
            <rFont val="Tahoma"/>
            <family val="2"/>
          </rPr>
          <t xml:space="preserve">
Devuelve el valor agregado de las incertidumbre para la categoría en referencia.</t>
        </r>
      </text>
    </comment>
    <comment ref="BC27" authorId="1" shapeId="0" xr:uid="{00000000-0006-0000-0100-000026000000}">
      <text>
        <r>
          <rPr>
            <b/>
            <sz val="9"/>
            <rFont val="Tahoma"/>
            <family val="2"/>
          </rPr>
          <t>80123558:</t>
        </r>
        <r>
          <rPr>
            <sz val="9"/>
            <rFont val="Tahoma"/>
            <family val="2"/>
          </rPr>
          <t xml:space="preserve">
Devuelve el valor agregado de las incertidumbre para la categoría en referencia.</t>
        </r>
      </text>
    </comment>
    <comment ref="BJ27" authorId="1" shapeId="0" xr:uid="{00000000-0006-0000-0100-000027000000}">
      <text>
        <r>
          <rPr>
            <b/>
            <sz val="9"/>
            <rFont val="Tahoma"/>
            <family val="2"/>
          </rPr>
          <t>80123558:</t>
        </r>
        <r>
          <rPr>
            <sz val="9"/>
            <rFont val="Tahoma"/>
            <family val="2"/>
          </rPr>
          <t xml:space="preserve">
Devuelve el valor agregado de las incertidumbre para la categoría en referencia.</t>
        </r>
      </text>
    </comment>
    <comment ref="BR27" authorId="1" shapeId="0" xr:uid="{00000000-0006-0000-0100-000028000000}">
      <text>
        <r>
          <rPr>
            <b/>
            <sz val="9"/>
            <rFont val="Tahoma"/>
            <family val="2"/>
          </rPr>
          <t>80123558:</t>
        </r>
        <r>
          <rPr>
            <sz val="9"/>
            <rFont val="Tahoma"/>
            <family val="2"/>
          </rPr>
          <t xml:space="preserve">
Devuelve el valor agregado de las incertidumbre para la categoría en referencia.</t>
        </r>
      </text>
    </comment>
    <comment ref="BY27" authorId="1" shapeId="0" xr:uid="{00000000-0006-0000-0100-000029000000}">
      <text>
        <r>
          <rPr>
            <b/>
            <sz val="9"/>
            <rFont val="Tahoma"/>
            <family val="2"/>
          </rPr>
          <t>80123558:</t>
        </r>
        <r>
          <rPr>
            <sz val="9"/>
            <rFont val="Tahoma"/>
            <family val="2"/>
          </rPr>
          <t xml:space="preserve">
Devuelve el valor agregado de las incertidumbre para la categoría en referencia.</t>
        </r>
      </text>
    </comment>
    <comment ref="CB27" authorId="1" shapeId="0" xr:uid="{00000000-0006-0000-0100-00002A000000}">
      <text>
        <r>
          <rPr>
            <b/>
            <sz val="9"/>
            <rFont val="Tahoma"/>
            <family val="2"/>
          </rPr>
          <t>80123558:</t>
        </r>
        <r>
          <rPr>
            <sz val="9"/>
            <rFont val="Tahoma"/>
            <family val="2"/>
          </rPr>
          <t xml:space="preserve">
Devuelve el valor agregado de las incertidumbre para la categoría en referencia.</t>
        </r>
      </text>
    </comment>
    <comment ref="AF28" authorId="1" shapeId="0" xr:uid="{00000000-0006-0000-0100-00002B000000}">
      <text>
        <r>
          <rPr>
            <b/>
            <sz val="9"/>
            <rFont val="Tahoma"/>
            <family val="2"/>
          </rPr>
          <t>80123558:</t>
        </r>
        <r>
          <rPr>
            <sz val="9"/>
            <rFont val="Tahoma"/>
            <family val="2"/>
          </rPr>
          <t xml:space="preserve">
Devuelve el valor agregado de las incertidumbre para la categoría en referencia.</t>
        </r>
      </text>
    </comment>
    <comment ref="AN28" authorId="1" shapeId="0" xr:uid="{00000000-0006-0000-0100-00002C000000}">
      <text>
        <r>
          <rPr>
            <b/>
            <sz val="9"/>
            <rFont val="Tahoma"/>
            <family val="2"/>
          </rPr>
          <t>80123558:</t>
        </r>
        <r>
          <rPr>
            <sz val="9"/>
            <rFont val="Tahoma"/>
            <family val="2"/>
          </rPr>
          <t xml:space="preserve">
Devuelve el valor agregado de las incertidumbre para la categoría en referencia.</t>
        </r>
      </text>
    </comment>
    <comment ref="AV28" authorId="1" shapeId="0" xr:uid="{00000000-0006-0000-0100-00002D000000}">
      <text>
        <r>
          <rPr>
            <b/>
            <sz val="9"/>
            <rFont val="Tahoma"/>
            <family val="2"/>
          </rPr>
          <t>80123558:</t>
        </r>
        <r>
          <rPr>
            <sz val="9"/>
            <rFont val="Tahoma"/>
            <family val="2"/>
          </rPr>
          <t xml:space="preserve">
Devuelve el valor agregado de las incertidumbre para la categoría en referencia.</t>
        </r>
      </text>
    </comment>
    <comment ref="BC28" authorId="1" shapeId="0" xr:uid="{00000000-0006-0000-0100-00002E000000}">
      <text>
        <r>
          <rPr>
            <b/>
            <sz val="9"/>
            <rFont val="Tahoma"/>
            <family val="2"/>
          </rPr>
          <t>80123558:</t>
        </r>
        <r>
          <rPr>
            <sz val="9"/>
            <rFont val="Tahoma"/>
            <family val="2"/>
          </rPr>
          <t xml:space="preserve">
Devuelve el valor agregado de las incertidumbre para la categoría en referencia.</t>
        </r>
      </text>
    </comment>
    <comment ref="BJ28" authorId="1" shapeId="0" xr:uid="{00000000-0006-0000-0100-00002F000000}">
      <text>
        <r>
          <rPr>
            <b/>
            <sz val="9"/>
            <rFont val="Tahoma"/>
            <family val="2"/>
          </rPr>
          <t>80123558:</t>
        </r>
        <r>
          <rPr>
            <sz val="9"/>
            <rFont val="Tahoma"/>
            <family val="2"/>
          </rPr>
          <t xml:space="preserve">
Devuelve el valor agregado de las incertidumbre para la categoría en referencia.</t>
        </r>
      </text>
    </comment>
    <comment ref="BR28" authorId="1" shapeId="0" xr:uid="{00000000-0006-0000-0100-000030000000}">
      <text>
        <r>
          <rPr>
            <b/>
            <sz val="9"/>
            <rFont val="Tahoma"/>
            <family val="2"/>
          </rPr>
          <t>80123558:</t>
        </r>
        <r>
          <rPr>
            <sz val="9"/>
            <rFont val="Tahoma"/>
            <family val="2"/>
          </rPr>
          <t xml:space="preserve">
Devuelve el valor agregado de las incertidumbre para la categoría en referencia.</t>
        </r>
      </text>
    </comment>
    <comment ref="BY28" authorId="1" shapeId="0" xr:uid="{00000000-0006-0000-0100-000031000000}">
      <text>
        <r>
          <rPr>
            <b/>
            <sz val="9"/>
            <rFont val="Tahoma"/>
            <family val="2"/>
          </rPr>
          <t>80123558:</t>
        </r>
        <r>
          <rPr>
            <sz val="9"/>
            <rFont val="Tahoma"/>
            <family val="2"/>
          </rPr>
          <t xml:space="preserve">
Devuelve el valor agregado de las incertidumbre para la categoría en referencia.</t>
        </r>
      </text>
    </comment>
    <comment ref="CB28" authorId="1" shapeId="0" xr:uid="{00000000-0006-0000-0100-000032000000}">
      <text>
        <r>
          <rPr>
            <b/>
            <sz val="9"/>
            <rFont val="Tahoma"/>
            <family val="2"/>
          </rPr>
          <t>80123558:</t>
        </r>
        <r>
          <rPr>
            <sz val="9"/>
            <rFont val="Tahoma"/>
            <family val="2"/>
          </rPr>
          <t xml:space="preserve">
Devuelve el valor agregado de las incertidumbre para la categoría en referencia.</t>
        </r>
      </text>
    </comment>
    <comment ref="B31" authorId="0" shapeId="0" xr:uid="{00000000-0006-0000-0100-000033000000}">
      <text>
        <r>
          <rPr>
            <b/>
            <sz val="9"/>
            <rFont val="Tahoma"/>
            <family val="2"/>
          </rPr>
          <t xml:space="preserve">HCP:
</t>
        </r>
        <r>
          <rPr>
            <sz val="9"/>
            <color indexed="81"/>
            <rFont val="Tahoma"/>
            <family val="2"/>
          </rPr>
          <t>Identifique las fuentes de emisión que correspondan a su proyecto y los datos de actividad requeridos para el diligenciamiento de la herramienta.</t>
        </r>
      </text>
    </comment>
    <comment ref="C31" authorId="0" shapeId="0" xr:uid="{00000000-0006-0000-0100-000034000000}">
      <text>
        <r>
          <rPr>
            <b/>
            <sz val="9"/>
            <rFont val="Tahoma"/>
            <family val="2"/>
          </rPr>
          <t>80123558:</t>
        </r>
        <r>
          <rPr>
            <sz val="9"/>
            <rFont val="Tahoma"/>
            <family val="2"/>
          </rPr>
          <t xml:space="preserve">
Seleccione si va a reportar datos de actividad, y por lo tanto va a usar la funcionalidad de cálculo de la herramienta de reporte o si va a reportar directamente sus emisiones de GEI y no requiere que la herramienta haga cálculos por usted (recuerde que en este segunda opción debe indicar las toneladas de CO2 equivalentes correspondientes a cada fuente de GEI de su actividad y adjuntar la revisión de conformidad de un organismo verificador)
Para mayor ayuda consulte la hoja de instrucciones y la Guía del Estándar del Programa Reduce Tu Huella de la Republica de Panamá </t>
        </r>
      </text>
    </comment>
    <comment ref="E31" authorId="1" shapeId="0" xr:uid="{00000000-0006-0000-0100-000036000000}">
      <text>
        <r>
          <rPr>
            <b/>
            <sz val="9"/>
            <rFont val="Tahoma"/>
            <family val="2"/>
          </rPr>
          <t xml:space="preserve">HCP:
</t>
        </r>
        <r>
          <rPr>
            <sz val="9"/>
            <color indexed="81"/>
            <rFont val="Tahoma"/>
            <family val="2"/>
          </rPr>
          <t>Despliegue la lista y seleccione la categoría de datos de actividad asociada al consumo.</t>
        </r>
      </text>
    </comment>
    <comment ref="CA31" authorId="1" shapeId="0" xr:uid="{00000000-0006-0000-0100-000037000000}">
      <text>
        <r>
          <rPr>
            <b/>
            <sz val="9"/>
            <rFont val="Tahoma"/>
            <family val="2"/>
          </rPr>
          <t>80123558:</t>
        </r>
        <r>
          <rPr>
            <sz val="9"/>
            <rFont val="Tahoma"/>
            <family val="2"/>
          </rPr>
          <t xml:space="preserve">
Devuelve el valor de las emisiones de GEI asociadas a la variable elegida.</t>
        </r>
      </text>
    </comment>
    <comment ref="CB31" authorId="1" shapeId="0" xr:uid="{00000000-0006-0000-0100-000038000000}">
      <text>
        <r>
          <rPr>
            <b/>
            <sz val="9"/>
            <rFont val="Tahoma"/>
            <family val="2"/>
          </rPr>
          <t>80123558:</t>
        </r>
        <r>
          <rPr>
            <sz val="9"/>
            <rFont val="Tahoma"/>
            <family val="2"/>
          </rPr>
          <t xml:space="preserve">
Devuelve el valor de la incertidumbre estimada, asociada al calculo de las emisiones de GEI de la variable elegida.</t>
        </r>
      </text>
    </comment>
    <comment ref="F32" authorId="1" shapeId="0" xr:uid="{00000000-0006-0000-0100-000039000000}">
      <text>
        <r>
          <rPr>
            <b/>
            <sz val="9"/>
            <rFont val="Tahoma"/>
            <family val="2"/>
          </rPr>
          <t xml:space="preserve">HCP:
</t>
        </r>
        <r>
          <rPr>
            <sz val="9"/>
            <color indexed="81"/>
            <rFont val="Tahoma"/>
            <family val="2"/>
          </rPr>
          <t>Indica la unidad en la que deben ser consignados los datos de consumo asociados a la variable elegida en la columna anterior.</t>
        </r>
      </text>
    </comment>
    <comment ref="G32" authorId="1" shapeId="0" xr:uid="{6E7A1F6B-39DF-4E71-A229-CBF002A8175F}">
      <text>
        <r>
          <rPr>
            <b/>
            <sz val="9"/>
            <rFont val="Tahoma"/>
            <family val="2"/>
          </rPr>
          <t xml:space="preserve">HCP:
</t>
        </r>
        <r>
          <rPr>
            <sz val="9"/>
            <rFont val="Tahoma"/>
            <family val="2"/>
          </rPr>
          <t>Incluya el valor del primer (o único) dato asociado a la variable correspondiente, en las unidades descritas en la columna "UNIDAD".</t>
        </r>
      </text>
    </comment>
    <comment ref="H32" authorId="1" shapeId="0" xr:uid="{CBEFE1DF-129C-4E7A-B0A3-F4EF3429D8B7}">
      <text>
        <r>
          <rPr>
            <b/>
            <sz val="9"/>
            <color indexed="81"/>
            <rFont val="Tahoma"/>
            <family val="2"/>
          </rPr>
          <t>HCP:</t>
        </r>
        <r>
          <rPr>
            <sz val="9"/>
            <rFont val="Tahoma"/>
            <family val="2"/>
          </rPr>
          <t xml:space="preserve">
Incluya el valor del segundo dato asociado a la variable correspondiente, en las unidades descritas en la columna "UNIDAD". Si solamente cuenta con un dato asociado a esta variable para el calculo de las emisiones anuales, no diligencie esta casilla (es importante que no se usen ceros en la casilla, o la herramienta asumirá el cero como un dato)</t>
        </r>
      </text>
    </comment>
    <comment ref="I32" authorId="1" shapeId="0" xr:uid="{E70168E9-850E-47DC-A095-AD242986E665}">
      <text>
        <r>
          <rPr>
            <b/>
            <sz val="9"/>
            <rFont val="Tahoma"/>
            <family val="2"/>
          </rPr>
          <t>HCP:</t>
        </r>
        <r>
          <rPr>
            <sz val="9"/>
            <rFont val="Tahoma"/>
            <family val="2"/>
          </rPr>
          <t xml:space="preserve">
Incluya el valor del tercer dato asociado a la variable correspondiente, en las unidades descritas en la columna "UNIDAD". Si solamente cuenta con dos datos asociados a esta variable para el calculo de las emisiones anuales, no diligencie esta casilla (es importante que no se usen ceros en la casilla, o la herramienta asumirá el cero como un dato)</t>
        </r>
      </text>
    </comment>
    <comment ref="J32" authorId="1" shapeId="0" xr:uid="{C8ED44E8-C871-4725-A428-E5AFCA439B3D}">
      <text>
        <r>
          <rPr>
            <b/>
            <sz val="9"/>
            <rFont val="Tahoma"/>
            <family val="2"/>
          </rPr>
          <t>HCP:</t>
        </r>
        <r>
          <rPr>
            <sz val="9"/>
            <rFont val="Tahoma"/>
            <family val="2"/>
          </rPr>
          <t xml:space="preserve">
Incluya el valor del cuarto dato asociado a la variable correspondiente, en las unidades descritas en la columna "UNIDAD". Si solamente cuenta con tres datos asociados a esta variable para el calculo de las emisiones anuales, no diligencie esta casilla (es importante que no se usen ceros en la casilla, o la herramienta asumirá el cero como un dato</t>
        </r>
      </text>
    </comment>
    <comment ref="K32" authorId="1" shapeId="0" xr:uid="{E6602D08-18F4-4C63-BAED-85477CF405DD}">
      <text>
        <r>
          <rPr>
            <b/>
            <sz val="9"/>
            <rFont val="Tahoma"/>
            <family val="2"/>
          </rPr>
          <t>HCP:</t>
        </r>
        <r>
          <rPr>
            <sz val="9"/>
            <rFont val="Tahoma"/>
            <family val="2"/>
          </rPr>
          <t xml:space="preserve">
Incluya el valor del quinto dato asociado a la variable correspondiente, en las unidades descritas en la columna "UNIDAD". Si solamente cuenta con cuatro datos asociados a esta variable para el calculo de las emisiones anuales, no diligencie esta casilla (es importante que no se usen ceros en la casilla, o la herramienta asumirá el cero como un dato</t>
        </r>
      </text>
    </comment>
    <comment ref="L32" authorId="1" shapeId="0" xr:uid="{27FB1013-18A1-4254-AF4F-44ACB2D215CE}">
      <text>
        <r>
          <rPr>
            <b/>
            <sz val="9"/>
            <rFont val="Tahoma"/>
            <family val="2"/>
          </rPr>
          <t>HCP:</t>
        </r>
        <r>
          <rPr>
            <sz val="9"/>
            <rFont val="Tahoma"/>
            <family val="2"/>
          </rPr>
          <t xml:space="preserve">
Incluya el valor del sexto dato asociado a la variable correspondiente, en las unidades descritas en la columna "UNIDAD". Si solamente cuenta con cinco datos asociados a esta variable para el calculo de las emisiones anuales, no diligencie esta casilla (es importante que no se usen ceros en la casilla, o la herramienta asumirá el cero como un dato</t>
        </r>
      </text>
    </comment>
    <comment ref="M32" authorId="1" shapeId="0" xr:uid="{A0F445F3-659D-4715-9493-5CE78DFC5A6E}">
      <text>
        <r>
          <rPr>
            <b/>
            <sz val="9"/>
            <rFont val="Tahoma"/>
            <family val="2"/>
          </rPr>
          <t>HCP:</t>
        </r>
        <r>
          <rPr>
            <sz val="9"/>
            <rFont val="Tahoma"/>
            <family val="2"/>
          </rPr>
          <t xml:space="preserve">
Incluya el valor del séptimo dato asociado a la variable correspondiente, en las unidades descritas en la columna "UNIDAD". Si solamente cuenta con seis datos asociados a esta variable para el calculo de las emisiones anuales, no diligencie esta casilla (es importante que no se usen ceros en la casilla, o la herramienta asumirá el cero como un dato</t>
        </r>
      </text>
    </comment>
    <comment ref="N32" authorId="1" shapeId="0" xr:uid="{C41DA811-BCC6-4739-BB29-E028C700989D}">
      <text>
        <r>
          <rPr>
            <b/>
            <sz val="9"/>
            <rFont val="Tahoma"/>
            <family val="2"/>
          </rPr>
          <t>HCP:</t>
        </r>
        <r>
          <rPr>
            <sz val="9"/>
            <rFont val="Tahoma"/>
            <family val="2"/>
          </rPr>
          <t xml:space="preserve">
Incluya el valor del octavo dato asociado a la variable correspondiente, en las unidades descritas en la columna "UNIDAD". Si solamente cuenta con siete datos asociados a esta variable para el calculo de las emisiones anuales, no diligencie esta casilla (es importante que no se usen ceros en la casilla, o la herramienta asumirá el cero como un dato</t>
        </r>
      </text>
    </comment>
    <comment ref="O32" authorId="1" shapeId="0" xr:uid="{9C1464D1-26E0-473C-BB67-CBAC0593E6E2}">
      <text>
        <r>
          <rPr>
            <b/>
            <sz val="9"/>
            <rFont val="Tahoma"/>
            <family val="2"/>
          </rPr>
          <t>HCP:</t>
        </r>
        <r>
          <rPr>
            <sz val="9"/>
            <rFont val="Tahoma"/>
            <family val="2"/>
          </rPr>
          <t xml:space="preserve">
Incluya el valor del noveno dato asociado a la variable correspondiente, en las unidades descritas en la columna "UNIDAD". Si solamente cuenta con ocho datos asociados a esta variable para el calculo de las emisiones anuales, no diligencie esta casilla (es importante que no se usen ceros en la casilla, o la herramienta asumirá el cero como un dato</t>
        </r>
      </text>
    </comment>
    <comment ref="P32" authorId="1" shapeId="0" xr:uid="{446E1976-0032-4072-A619-DBC222EE21AF}">
      <text>
        <r>
          <rPr>
            <b/>
            <sz val="9"/>
            <rFont val="Tahoma"/>
            <family val="2"/>
          </rPr>
          <t>HCP:</t>
        </r>
        <r>
          <rPr>
            <sz val="9"/>
            <rFont val="Tahoma"/>
            <family val="2"/>
          </rPr>
          <t xml:space="preserve">
Incluya el valor del decimo dato asociado a la variable correspondiente, en las unidades descritas en la columna "UNIDAD". Si solamente cuenta con nueve datos asociados a esta variable para el calculo de las emisiones anuales, no diligencie esta casilla (es importante que no se usen ceros en la casilla, o la herramienta asumirá el cero como un dato</t>
        </r>
      </text>
    </comment>
    <comment ref="Q32" authorId="1" shapeId="0" xr:uid="{BEC07358-E53A-4D49-90A2-832E65F7F464}">
      <text>
        <r>
          <rPr>
            <b/>
            <sz val="9"/>
            <rFont val="Tahoma"/>
            <family val="2"/>
          </rPr>
          <t>HCP:</t>
        </r>
        <r>
          <rPr>
            <sz val="9"/>
            <rFont val="Tahoma"/>
            <family val="2"/>
          </rPr>
          <t xml:space="preserve">
Incluya el valor del undécimo dato asociado a la variable correspondiente, en las unidades descritas en la columna "UNIDAD". Si solamente cuenta con diez datos asociados a esta variable para el calculo de las emisiones anuales, no diligencie esta casilla (es importante que no se usen ceros en la casilla, o la herramienta asumirá el cero como un dato</t>
        </r>
      </text>
    </comment>
    <comment ref="R32" authorId="1" shapeId="0" xr:uid="{13075BDC-2B50-4CF3-9CF8-2103B15888C2}">
      <text>
        <r>
          <rPr>
            <b/>
            <sz val="9"/>
            <rFont val="Tahoma"/>
            <family val="2"/>
          </rPr>
          <t>HCP:</t>
        </r>
        <r>
          <rPr>
            <sz val="9"/>
            <rFont val="Tahoma"/>
            <family val="2"/>
          </rPr>
          <t xml:space="preserve">
Incluya el valor del duodécimo dato asociado a la variable correspondiente, en las unidades descritas en la columna "UNIDAD". Si solamente cuenta con once datos asociados a esta variable para el calculo de las emisiones anuales, no diligencie esta casilla (es importante que no se usen ceros en la casilla, o la herramienta asumirá el cero como un dato.
Si su medición contempla el uso de mas de doce datos en el periodo estimado, por favor consulte esta situación a los responsables del proyecto MVC.</t>
        </r>
      </text>
    </comment>
    <comment ref="S32" authorId="1" shapeId="0" xr:uid="{00000000-0006-0000-0100-000046000000}">
      <text>
        <r>
          <rPr>
            <b/>
            <sz val="9"/>
            <rFont val="Tahoma"/>
            <family val="2"/>
          </rPr>
          <t>80123558:</t>
        </r>
        <r>
          <rPr>
            <sz val="9"/>
            <rFont val="Tahoma"/>
            <family val="2"/>
          </rPr>
          <t xml:space="preserve">
Devuelve el valor total del consumo asociado a cada variable.</t>
        </r>
      </text>
    </comment>
    <comment ref="T32" authorId="1" shapeId="0" xr:uid="{00000000-0006-0000-0100-000047000000}">
      <text>
        <r>
          <rPr>
            <b/>
            <sz val="9"/>
            <rFont val="Tahoma"/>
            <family val="2"/>
          </rPr>
          <t>80123558:</t>
        </r>
        <r>
          <rPr>
            <sz val="9"/>
            <rFont val="Tahoma"/>
            <family val="2"/>
          </rPr>
          <t xml:space="preserve">
Indica la cantidad de datos recogidos para calcular la Huella de Carbono asociada a cada variable. El número de datos debe estar comprendido entre un mínimo de un dato (cuando solamente se cuanta con un dato asociado a la variable en mención) y un máximo de 12 datos por cada variable (dependiendo de la disponibilidad de información de cada variable en la organización).
El numero de datos depende de la información con la que cuente la organización en sus registros. </t>
        </r>
      </text>
    </comment>
    <comment ref="U32" authorId="1" shapeId="0" xr:uid="{00000000-0006-0000-0100-000048000000}">
      <text>
        <r>
          <rPr>
            <b/>
            <sz val="9"/>
            <rFont val="Tahoma"/>
            <family val="2"/>
          </rPr>
          <t>80123558:</t>
        </r>
        <r>
          <rPr>
            <sz val="9"/>
            <rFont val="Tahoma"/>
            <family val="2"/>
          </rPr>
          <t xml:space="preserve">
Devuelve el promedio de los valores consignados en las casillas de "DATOS 1 al 12".</t>
        </r>
      </text>
    </comment>
    <comment ref="V32" authorId="1" shapeId="0" xr:uid="{00000000-0006-0000-0100-000049000000}">
      <text>
        <r>
          <rPr>
            <b/>
            <sz val="9"/>
            <rFont val="Tahoma"/>
            <family val="2"/>
          </rPr>
          <t>80123558:</t>
        </r>
        <r>
          <rPr>
            <sz val="9"/>
            <rFont val="Tahoma"/>
            <family val="2"/>
          </rPr>
          <t xml:space="preserve">
Devuelve la desviación estándar de los valores consignados en las casillas de "DATOS 1 al 12".</t>
        </r>
      </text>
    </comment>
    <comment ref="W32" authorId="1" shapeId="0" xr:uid="{00000000-0006-0000-0100-00004A000000}">
      <text>
        <r>
          <rPr>
            <b/>
            <sz val="9"/>
            <rFont val="Tahoma"/>
            <family val="2"/>
          </rPr>
          <t>80123558:</t>
        </r>
        <r>
          <rPr>
            <sz val="9"/>
            <rFont val="Tahoma"/>
            <family val="2"/>
          </rPr>
          <t xml:space="preserve">
Devuelve el "factor T" de los valores consignados en las casillas de "DATOS 1 al 12". Los valores asociados a esta columna han sido propuestos por el anexo 1 de la "Guía corta para el calculo de la medición y estimación de la incertidumbre para emisiones de GHG", disponible en : http://www.ghgprotocol.org/files/ghgp/tools/ghg-uncertainty.pdf</t>
        </r>
      </text>
    </comment>
    <comment ref="X32" authorId="0" shapeId="0" xr:uid="{00000000-0006-0000-0100-00004B000000}">
      <text>
        <r>
          <rPr>
            <b/>
            <sz val="9"/>
            <rFont val="Tahoma"/>
            <family val="2"/>
          </rPr>
          <t>80123558:</t>
        </r>
        <r>
          <rPr>
            <sz val="9"/>
            <rFont val="Tahoma"/>
            <family val="2"/>
          </rPr>
          <t xml:space="preserve">
Si lo conoce, indique el valor de incertidumbre asociado a los datos de actividad que está reportando, de lo contrario deje estas casillas sin diligenciar</t>
        </r>
      </text>
    </comment>
    <comment ref="Y32" authorId="1" shapeId="0" xr:uid="{00000000-0006-0000-0100-00004C000000}">
      <text>
        <r>
          <rPr>
            <b/>
            <sz val="9"/>
            <rFont val="Tahoma"/>
            <family val="2"/>
          </rPr>
          <t>80123558:</t>
        </r>
        <r>
          <rPr>
            <sz val="9"/>
            <rFont val="Tahoma"/>
            <family val="2"/>
          </rPr>
          <t xml:space="preserve">
Si la organización no conce la incertidumbre relacionada con sus datos de actividad, devuelve el porcentaje de incertidumbre asociado a los datos de actividad consignados en las casillas "DATO 1 al 12", empleados para el calculo de la Huella de Carbono de la Organización.
Si solamente se cuenta con un dato para la estimación de las emisiones de GEI, la incertidumbre de la variable corresponderá al dato propuesto por el IPCC en el documento: "Orientación del IPCC sobre las buenas prácticas y la gestión de la incertidumbre en los inventarios nacionales de gases de efecto invernadero", disponible en: http://www.ipcc-nggip.iges.or.jp/public/gp/spanish/gpgaum_es.html
Si se cuenta con dos o mas datos para la estimación de las emisiones de GEI, el resultado corresponde a la metodología propuesta por el IPCC y adoptada por el GHG  Protocol, descrita en el documento:  "Guía corta para el calculo de la medición y estimación de la incertidumbre para emisiones de GHG", disponible en : http://www.ghgprotocol.org/files/ghgp/tools/ghg-uncertainty.pdf</t>
        </r>
      </text>
    </comment>
    <comment ref="B51" authorId="0" shapeId="0" xr:uid="{00000000-0006-0000-0100-00004D000000}">
      <text>
        <r>
          <rPr>
            <b/>
            <sz val="9"/>
            <rFont val="Tahoma"/>
            <family val="2"/>
          </rPr>
          <t xml:space="preserve">HCP:
</t>
        </r>
        <r>
          <rPr>
            <sz val="9"/>
            <color indexed="81"/>
            <rFont val="Tahoma"/>
            <family val="2"/>
          </rPr>
          <t>Identifique las fuentes de emisión que correspondan a su proyecto y los datos de actividad requeridos para el diligenciamiento de la herramienta.</t>
        </r>
      </text>
    </comment>
    <comment ref="E51" authorId="1" shapeId="0" xr:uid="{00000000-0006-0000-0100-000050000000}">
      <text>
        <r>
          <rPr>
            <b/>
            <sz val="9"/>
            <rFont val="Tahoma"/>
            <family val="2"/>
          </rPr>
          <t xml:space="preserve">HCP:
</t>
        </r>
        <r>
          <rPr>
            <sz val="9"/>
            <color indexed="81"/>
            <rFont val="Tahoma"/>
            <family val="2"/>
          </rPr>
          <t>Despliegue la lista y seleccione la categoría de datos de actividad asociada al consumo.</t>
        </r>
      </text>
    </comment>
    <comment ref="CA51" authorId="1" shapeId="0" xr:uid="{00000000-0006-0000-0100-000051000000}">
      <text>
        <r>
          <rPr>
            <b/>
            <sz val="9"/>
            <rFont val="Tahoma"/>
            <family val="2"/>
          </rPr>
          <t>80123558:</t>
        </r>
        <r>
          <rPr>
            <sz val="9"/>
            <rFont val="Tahoma"/>
            <family val="2"/>
          </rPr>
          <t xml:space="preserve">
Devuelve el valor de las emisiones de GEI asociadas a la variable elegida.</t>
        </r>
      </text>
    </comment>
    <comment ref="CB51" authorId="1" shapeId="0" xr:uid="{00000000-0006-0000-0100-000052000000}">
      <text>
        <r>
          <rPr>
            <b/>
            <sz val="9"/>
            <rFont val="Tahoma"/>
            <family val="2"/>
          </rPr>
          <t>80123558:</t>
        </r>
        <r>
          <rPr>
            <sz val="9"/>
            <rFont val="Tahoma"/>
            <family val="2"/>
          </rPr>
          <t xml:space="preserve">
Devuelve el valor de la incertidumbre estimada, asociada al calculo de las emisiones de GEI de la variable elegida.</t>
        </r>
      </text>
    </comment>
    <comment ref="F52" authorId="1" shapeId="0" xr:uid="{00000000-0006-0000-0100-000053000000}">
      <text>
        <r>
          <rPr>
            <b/>
            <sz val="9"/>
            <rFont val="Tahoma"/>
            <family val="2"/>
          </rPr>
          <t xml:space="preserve">HCP:
</t>
        </r>
        <r>
          <rPr>
            <sz val="9"/>
            <color indexed="81"/>
            <rFont val="Tahoma"/>
            <family val="2"/>
          </rPr>
          <t>Indica la unidad en la que deben ser consignados los datos de consumo asociados a la variable elegida en la columna anterior.</t>
        </r>
      </text>
    </comment>
    <comment ref="G52" authorId="1" shapeId="0" xr:uid="{7A07C6C0-5510-47FB-857B-6C1277EEA2F5}">
      <text>
        <r>
          <rPr>
            <b/>
            <sz val="9"/>
            <rFont val="Tahoma"/>
            <family val="2"/>
          </rPr>
          <t xml:space="preserve">HCP:
</t>
        </r>
        <r>
          <rPr>
            <sz val="9"/>
            <rFont val="Tahoma"/>
            <family val="2"/>
          </rPr>
          <t>Incluya el valor del primer (o único) dato asociado a la variable correspondiente, en las unidades descritas en la columna "UNIDAD".</t>
        </r>
      </text>
    </comment>
    <comment ref="H52" authorId="1" shapeId="0" xr:uid="{9B302160-4D6F-4A56-8480-F585AD270BD8}">
      <text>
        <r>
          <rPr>
            <b/>
            <sz val="9"/>
            <color indexed="81"/>
            <rFont val="Tahoma"/>
            <family val="2"/>
          </rPr>
          <t>HCP:</t>
        </r>
        <r>
          <rPr>
            <sz val="9"/>
            <rFont val="Tahoma"/>
            <family val="2"/>
          </rPr>
          <t xml:space="preserve">
Incluya el valor del segundo dato asociado a la variable correspondiente, en las unidades descritas en la columna "UNIDAD". Si solamente cuenta con un dato asociado a esta variable para el calculo de las emisiones anuales, no diligencie esta casilla (es importante que no se usen ceros en la casilla, o la herramienta asumirá el cero como un dato)</t>
        </r>
      </text>
    </comment>
    <comment ref="I52" authorId="1" shapeId="0" xr:uid="{357331A4-5D99-4D86-B411-3CDDCF4EB13D}">
      <text>
        <r>
          <rPr>
            <b/>
            <sz val="9"/>
            <rFont val="Tahoma"/>
            <family val="2"/>
          </rPr>
          <t>HCP:</t>
        </r>
        <r>
          <rPr>
            <sz val="9"/>
            <rFont val="Tahoma"/>
            <family val="2"/>
          </rPr>
          <t xml:space="preserve">
Incluya el valor del tercer dato asociado a la variable correspondiente, en las unidades descritas en la columna "UNIDAD". Si solamente cuenta con dos datos asociados a esta variable para el calculo de las emisiones anuales, no diligencie esta casilla (es importante que no se usen ceros en la casilla, o la herramienta asumirá el cero como un dato)</t>
        </r>
      </text>
    </comment>
    <comment ref="J52" authorId="1" shapeId="0" xr:uid="{E3CE4503-BB9F-4076-B92D-4EED48715378}">
      <text>
        <r>
          <rPr>
            <b/>
            <sz val="9"/>
            <rFont val="Tahoma"/>
            <family val="2"/>
          </rPr>
          <t>HCP:</t>
        </r>
        <r>
          <rPr>
            <sz val="9"/>
            <rFont val="Tahoma"/>
            <family val="2"/>
          </rPr>
          <t xml:space="preserve">
Incluya el valor del cuarto dato asociado a la variable correspondiente, en las unidades descritas en la columna "UNIDAD". Si solamente cuenta con tres datos asociados a esta variable para el calculo de las emisiones anuales, no diligencie esta casilla (es importante que no se usen ceros en la casilla, o la herramienta asumirá el cero como un dato</t>
        </r>
      </text>
    </comment>
    <comment ref="K52" authorId="1" shapeId="0" xr:uid="{795C1CF2-17BC-45BA-80B2-A28925089191}">
      <text>
        <r>
          <rPr>
            <b/>
            <sz val="9"/>
            <rFont val="Tahoma"/>
            <family val="2"/>
          </rPr>
          <t>HCP:</t>
        </r>
        <r>
          <rPr>
            <sz val="9"/>
            <rFont val="Tahoma"/>
            <family val="2"/>
          </rPr>
          <t xml:space="preserve">
Incluya el valor del quinto dato asociado a la variable correspondiente, en las unidades descritas en la columna "UNIDAD". Si solamente cuenta con cuatro datos asociados a esta variable para el calculo de las emisiones anuales, no diligencie esta casilla (es importante que no se usen ceros en la casilla, o la herramienta asumirá el cero como un dato</t>
        </r>
      </text>
    </comment>
    <comment ref="L52" authorId="1" shapeId="0" xr:uid="{EE744FF8-F04C-4D53-9C90-7188E93B1A60}">
      <text>
        <r>
          <rPr>
            <b/>
            <sz val="9"/>
            <rFont val="Tahoma"/>
            <family val="2"/>
          </rPr>
          <t>HCP:</t>
        </r>
        <r>
          <rPr>
            <sz val="9"/>
            <rFont val="Tahoma"/>
            <family val="2"/>
          </rPr>
          <t xml:space="preserve">
Incluya el valor del sexto dato asociado a la variable correspondiente, en las unidades descritas en la columna "UNIDAD". Si solamente cuenta con cinco datos asociados a esta variable para el calculo de las emisiones anuales, no diligencie esta casilla (es importante que no se usen ceros en la casilla, o la herramienta asumirá el cero como un dato</t>
        </r>
      </text>
    </comment>
    <comment ref="M52" authorId="1" shapeId="0" xr:uid="{4193BDE5-9850-42CA-8F27-7332BFE9FB68}">
      <text>
        <r>
          <rPr>
            <b/>
            <sz val="9"/>
            <rFont val="Tahoma"/>
            <family val="2"/>
          </rPr>
          <t>HCP:</t>
        </r>
        <r>
          <rPr>
            <sz val="9"/>
            <rFont val="Tahoma"/>
            <family val="2"/>
          </rPr>
          <t xml:space="preserve">
Incluya el valor del séptimo dato asociado a la variable correspondiente, en las unidades descritas en la columna "UNIDAD". Si solamente cuenta con seis datos asociados a esta variable para el calculo de las emisiones anuales, no diligencie esta casilla (es importante que no se usen ceros en la casilla, o la herramienta asumirá el cero como un dato</t>
        </r>
      </text>
    </comment>
    <comment ref="N52" authorId="1" shapeId="0" xr:uid="{AF937B8B-BB41-4852-9903-0C8067BB92D4}">
      <text>
        <r>
          <rPr>
            <b/>
            <sz val="9"/>
            <rFont val="Tahoma"/>
            <family val="2"/>
          </rPr>
          <t>HCP:</t>
        </r>
        <r>
          <rPr>
            <sz val="9"/>
            <rFont val="Tahoma"/>
            <family val="2"/>
          </rPr>
          <t xml:space="preserve">
Incluya el valor del octavo dato asociado a la variable correspondiente, en las unidades descritas en la columna "UNIDAD". Si solamente cuenta con siete datos asociados a esta variable para el calculo de las emisiones anuales, no diligencie esta casilla (es importante que no se usen ceros en la casilla, o la herramienta asumirá el cero como un dato</t>
        </r>
      </text>
    </comment>
    <comment ref="O52" authorId="1" shapeId="0" xr:uid="{69BCBAB7-9459-4D09-A99A-16611A35B25C}">
      <text>
        <r>
          <rPr>
            <b/>
            <sz val="9"/>
            <rFont val="Tahoma"/>
            <family val="2"/>
          </rPr>
          <t>HCP:</t>
        </r>
        <r>
          <rPr>
            <sz val="9"/>
            <rFont val="Tahoma"/>
            <family val="2"/>
          </rPr>
          <t xml:space="preserve">
Incluya el valor del noveno dato asociado a la variable correspondiente, en las unidades descritas en la columna "UNIDAD". Si solamente cuenta con ocho datos asociados a esta variable para el calculo de las emisiones anuales, no diligencie esta casilla (es importante que no se usen ceros en la casilla, o la herramienta asumirá el cero como un dato</t>
        </r>
      </text>
    </comment>
    <comment ref="P52" authorId="1" shapeId="0" xr:uid="{7AEF2611-E08B-4C95-9273-803D03D0BF01}">
      <text>
        <r>
          <rPr>
            <b/>
            <sz val="9"/>
            <rFont val="Tahoma"/>
            <family val="2"/>
          </rPr>
          <t>HCP:</t>
        </r>
        <r>
          <rPr>
            <sz val="9"/>
            <rFont val="Tahoma"/>
            <family val="2"/>
          </rPr>
          <t xml:space="preserve">
Incluya el valor del decimo dato asociado a la variable correspondiente, en las unidades descritas en la columna "UNIDAD". Si solamente cuenta con nueve datos asociados a esta variable para el calculo de las emisiones anuales, no diligencie esta casilla (es importante que no se usen ceros en la casilla, o la herramienta asumirá el cero como un dato</t>
        </r>
      </text>
    </comment>
    <comment ref="Q52" authorId="1" shapeId="0" xr:uid="{E8556B6D-3CA2-473A-94C6-74F8AB5DC18A}">
      <text>
        <r>
          <rPr>
            <b/>
            <sz val="9"/>
            <rFont val="Tahoma"/>
            <family val="2"/>
          </rPr>
          <t>HCP:</t>
        </r>
        <r>
          <rPr>
            <sz val="9"/>
            <rFont val="Tahoma"/>
            <family val="2"/>
          </rPr>
          <t xml:space="preserve">
Incluya el valor del undécimo dato asociado a la variable correspondiente, en las unidades descritas en la columna "UNIDAD". Si solamente cuenta con diez datos asociados a esta variable para el calculo de las emisiones anuales, no diligencie esta casilla (es importante que no se usen ceros en la casilla, o la herramienta asumirá el cero como un dato</t>
        </r>
      </text>
    </comment>
    <comment ref="R52" authorId="1" shapeId="0" xr:uid="{F194DEC1-8D46-4DA9-9DC2-29E42E2A485A}">
      <text>
        <r>
          <rPr>
            <b/>
            <sz val="9"/>
            <rFont val="Tahoma"/>
            <family val="2"/>
          </rPr>
          <t>HCP:</t>
        </r>
        <r>
          <rPr>
            <sz val="9"/>
            <rFont val="Tahoma"/>
            <family val="2"/>
          </rPr>
          <t xml:space="preserve">
Incluya el valor del duodécimo dato asociado a la variable correspondiente, en las unidades descritas en la columna "UNIDAD". Si solamente cuenta con once datos asociados a esta variable para el calculo de las emisiones anuales, no diligencie esta casilla (es importante que no se usen ceros en la casilla, o la herramienta asumirá el cero como un dato.
Si su medición contempla el uso de mas de doce datos en el periodo estimado, por favor consulte esta situación a los responsables del proyecto MVC.</t>
        </r>
      </text>
    </comment>
    <comment ref="S52" authorId="1" shapeId="0" xr:uid="{00000000-0006-0000-0100-000060000000}">
      <text>
        <r>
          <rPr>
            <b/>
            <sz val="9"/>
            <rFont val="Tahoma"/>
            <family val="2"/>
          </rPr>
          <t>80123558:</t>
        </r>
        <r>
          <rPr>
            <sz val="9"/>
            <rFont val="Tahoma"/>
            <family val="2"/>
          </rPr>
          <t xml:space="preserve">
Devuelve el valor total del consumo asociado a cada variable.</t>
        </r>
      </text>
    </comment>
    <comment ref="T52" authorId="1" shapeId="0" xr:uid="{00000000-0006-0000-0100-000061000000}">
      <text>
        <r>
          <rPr>
            <b/>
            <sz val="9"/>
            <rFont val="Tahoma"/>
            <family val="2"/>
          </rPr>
          <t>80123558:</t>
        </r>
        <r>
          <rPr>
            <sz val="9"/>
            <rFont val="Tahoma"/>
            <family val="2"/>
          </rPr>
          <t xml:space="preserve">
Indica la cantidad de datos recogidos para calcular la Huella de Carbono asociada a cada variable. El número de datos debe estar comprendido entre un mínimo de un dato (cuando solamente se cuanta con un dato asociado a la variable en mención) y un máximo de 12 datos por cada variable (dependiendo de la disponibilidad de información de cada variable en la organización).
El numero de datos depende de la información con la que cuente la organización en sus registros. </t>
        </r>
      </text>
    </comment>
    <comment ref="U52" authorId="1" shapeId="0" xr:uid="{00000000-0006-0000-0100-000062000000}">
      <text>
        <r>
          <rPr>
            <b/>
            <sz val="9"/>
            <rFont val="Tahoma"/>
            <family val="2"/>
          </rPr>
          <t>80123558:</t>
        </r>
        <r>
          <rPr>
            <sz val="9"/>
            <rFont val="Tahoma"/>
            <family val="2"/>
          </rPr>
          <t xml:space="preserve">
Devuelve el promedio de los valores consignados en las casillas de "DATOS 1 al 12".</t>
        </r>
      </text>
    </comment>
    <comment ref="V52" authorId="1" shapeId="0" xr:uid="{00000000-0006-0000-0100-000063000000}">
      <text>
        <r>
          <rPr>
            <b/>
            <sz val="9"/>
            <rFont val="Tahoma"/>
            <family val="2"/>
          </rPr>
          <t>80123558:</t>
        </r>
        <r>
          <rPr>
            <sz val="9"/>
            <rFont val="Tahoma"/>
            <family val="2"/>
          </rPr>
          <t xml:space="preserve">
Devuelve la desviación estándar de los valores consignados en las casillas de "DATOS 1 al 12".</t>
        </r>
      </text>
    </comment>
    <comment ref="W52" authorId="1" shapeId="0" xr:uid="{00000000-0006-0000-0100-000064000000}">
      <text>
        <r>
          <rPr>
            <b/>
            <sz val="9"/>
            <rFont val="Tahoma"/>
            <family val="2"/>
          </rPr>
          <t>80123558:</t>
        </r>
        <r>
          <rPr>
            <sz val="9"/>
            <rFont val="Tahoma"/>
            <family val="2"/>
          </rPr>
          <t xml:space="preserve">
Devuelve el "factor T" de los valores consignados en las casillas de "DATOS 1 al 12". Los valores asociados a esta columna han sido propuestos por el anexo 1 de la "Guía corta para el calculo de la medición y estimación de la incertidumbre para emisiones de GHG", disponible en : http://www.ghgprotocol.org/files/ghgp/tools/ghg-uncertainty.pdf</t>
        </r>
      </text>
    </comment>
    <comment ref="X52" authorId="0" shapeId="0" xr:uid="{00000000-0006-0000-0100-000065000000}">
      <text>
        <r>
          <rPr>
            <b/>
            <sz val="9"/>
            <rFont val="Tahoma"/>
            <family val="2"/>
          </rPr>
          <t>80123558:</t>
        </r>
        <r>
          <rPr>
            <sz val="9"/>
            <rFont val="Tahoma"/>
            <family val="2"/>
          </rPr>
          <t xml:space="preserve">
Si lo conoce, indique el valor de incertidumbre asociado a los datos de actividad que está reportando, de lo contrario deje estas casillas sin diligenciar</t>
        </r>
      </text>
    </comment>
    <comment ref="Y52" authorId="1" shapeId="0" xr:uid="{00000000-0006-0000-0100-000066000000}">
      <text>
        <r>
          <rPr>
            <b/>
            <sz val="9"/>
            <rFont val="Tahoma"/>
            <family val="2"/>
          </rPr>
          <t>80123558:</t>
        </r>
        <r>
          <rPr>
            <sz val="9"/>
            <rFont val="Tahoma"/>
            <family val="2"/>
          </rPr>
          <t xml:space="preserve">
Si la organización no conce la incertidumbre relacionada con sus datos de actividad, devuelve el porcentaje de incertidumbre asociado a los datos de actividad consignados en las casillas "DATO 1 al 12", empleados para el calculo de la Huella de Carbono de la Organización.
Si solamente se cuenta con un dato para la estimación de las emisiones de GEI, la incertidumbre de la variable corresponderá al dato propuesto por el IPCC en el documento: "Orientación del IPCC sobre las buenas prácticas y la gestión de la incertidumbre en los inventarios nacionales de gases de efecto invernadero", disponible en: http://www.ipcc-nggip.iges.or.jp/public/gp/spanish/gpgaum_es.html
Si se cuenta con dos o mas datos para la estimación de las emisiones de GEI, el resultado corresponde a la metodología propuesta por el IPCC y adoptada por el GHG  Protocol, descrita en el documento:  "Guía corta para el calculo de la medición y estimación de la incertidumbre para emisiones de GHG", disponible en : http://www.ghgprotocol.org/files/ghgp/tools/ghg-uncertainty.pdf</t>
        </r>
      </text>
    </comment>
    <comment ref="AF59" authorId="1" shapeId="0" xr:uid="{00000000-0006-0000-0100-000067000000}">
      <text>
        <r>
          <rPr>
            <b/>
            <sz val="9"/>
            <rFont val="Tahoma"/>
            <family val="2"/>
          </rPr>
          <t>80123558:</t>
        </r>
        <r>
          <rPr>
            <sz val="9"/>
            <rFont val="Tahoma"/>
            <family val="2"/>
          </rPr>
          <t xml:space="preserve">
Devuelve el valor agregado de las incertidumbre para la categoría en referencia.</t>
        </r>
      </text>
    </comment>
    <comment ref="AN59" authorId="1" shapeId="0" xr:uid="{00000000-0006-0000-0100-000068000000}">
      <text>
        <r>
          <rPr>
            <b/>
            <sz val="9"/>
            <rFont val="Tahoma"/>
            <family val="2"/>
          </rPr>
          <t>80123558:</t>
        </r>
        <r>
          <rPr>
            <sz val="9"/>
            <rFont val="Tahoma"/>
            <family val="2"/>
          </rPr>
          <t xml:space="preserve">
Devuelve el valor agregado de las incertidumbre para la categoría en referencia.</t>
        </r>
      </text>
    </comment>
    <comment ref="AV59" authorId="1" shapeId="0" xr:uid="{00000000-0006-0000-0100-000069000000}">
      <text>
        <r>
          <rPr>
            <b/>
            <sz val="9"/>
            <rFont val="Tahoma"/>
            <family val="2"/>
          </rPr>
          <t>80123558:</t>
        </r>
        <r>
          <rPr>
            <sz val="9"/>
            <rFont val="Tahoma"/>
            <family val="2"/>
          </rPr>
          <t xml:space="preserve">
Devuelve el valor agregado de las incertidumbre para la categoría en referencia.</t>
        </r>
      </text>
    </comment>
    <comment ref="BC59" authorId="1" shapeId="0" xr:uid="{00000000-0006-0000-0100-00006A000000}">
      <text>
        <r>
          <rPr>
            <b/>
            <sz val="9"/>
            <rFont val="Tahoma"/>
            <family val="2"/>
          </rPr>
          <t>80123558:</t>
        </r>
        <r>
          <rPr>
            <sz val="9"/>
            <rFont val="Tahoma"/>
            <family val="2"/>
          </rPr>
          <t xml:space="preserve">
Devuelve el valor agregado de las incertidumbre para la categoría en referencia.</t>
        </r>
      </text>
    </comment>
    <comment ref="BJ59" authorId="1" shapeId="0" xr:uid="{00000000-0006-0000-0100-00006B000000}">
      <text>
        <r>
          <rPr>
            <b/>
            <sz val="9"/>
            <rFont val="Tahoma"/>
            <family val="2"/>
          </rPr>
          <t>80123558:</t>
        </r>
        <r>
          <rPr>
            <sz val="9"/>
            <rFont val="Tahoma"/>
            <family val="2"/>
          </rPr>
          <t xml:space="preserve">
Devuelve el valor agregado de las incertidumbre para la categoría en referencia.</t>
        </r>
      </text>
    </comment>
    <comment ref="BR59" authorId="1" shapeId="0" xr:uid="{00000000-0006-0000-0100-00006C000000}">
      <text>
        <r>
          <rPr>
            <b/>
            <sz val="9"/>
            <rFont val="Tahoma"/>
            <family val="2"/>
          </rPr>
          <t>80123558:</t>
        </r>
        <r>
          <rPr>
            <sz val="9"/>
            <rFont val="Tahoma"/>
            <family val="2"/>
          </rPr>
          <t xml:space="preserve">
Devuelve el valor agregado de las incertidumbre para la categoría en referencia.</t>
        </r>
      </text>
    </comment>
    <comment ref="BY59" authorId="1" shapeId="0" xr:uid="{00000000-0006-0000-0100-00006D000000}">
      <text>
        <r>
          <rPr>
            <b/>
            <sz val="9"/>
            <rFont val="Tahoma"/>
            <family val="2"/>
          </rPr>
          <t>80123558:</t>
        </r>
        <r>
          <rPr>
            <sz val="9"/>
            <rFont val="Tahoma"/>
            <family val="2"/>
          </rPr>
          <t xml:space="preserve">
Devuelve el valor agregado de las incertidumbre para la categoría en referencia.</t>
        </r>
      </text>
    </comment>
    <comment ref="CB59" authorId="1" shapeId="0" xr:uid="{00000000-0006-0000-0100-00006E000000}">
      <text>
        <r>
          <rPr>
            <b/>
            <sz val="9"/>
            <rFont val="Tahoma"/>
            <family val="2"/>
          </rPr>
          <t>80123558:</t>
        </r>
        <r>
          <rPr>
            <sz val="9"/>
            <rFont val="Tahoma"/>
            <family val="2"/>
          </rPr>
          <t xml:space="preserve">
Devuelve el valor agregado de las incertidumbre para la categoría en referencia.</t>
        </r>
      </text>
    </comment>
    <comment ref="AF64" authorId="1" shapeId="0" xr:uid="{1053A100-15B3-4E40-BF1C-5A2FA8F3019A}">
      <text>
        <r>
          <rPr>
            <b/>
            <sz val="9"/>
            <rFont val="Tahoma"/>
            <family val="2"/>
          </rPr>
          <t>80123558:</t>
        </r>
        <r>
          <rPr>
            <sz val="9"/>
            <rFont val="Tahoma"/>
            <family val="2"/>
          </rPr>
          <t xml:space="preserve">
Devuelve el valor agregado de las incertidumbre para la categoría en referencia.</t>
        </r>
      </text>
    </comment>
    <comment ref="AN64" authorId="1" shapeId="0" xr:uid="{9483B856-D8DC-48BA-ADB7-65941A924CF7}">
      <text>
        <r>
          <rPr>
            <b/>
            <sz val="9"/>
            <rFont val="Tahoma"/>
            <family val="2"/>
          </rPr>
          <t>80123558:</t>
        </r>
        <r>
          <rPr>
            <sz val="9"/>
            <rFont val="Tahoma"/>
            <family val="2"/>
          </rPr>
          <t xml:space="preserve">
Devuelve el valor agregado de las incertidumbre para la categoría en referencia.</t>
        </r>
      </text>
    </comment>
    <comment ref="AV64" authorId="1" shapeId="0" xr:uid="{5C973C5B-C1B3-4AC5-B660-30CDAE02BD9A}">
      <text>
        <r>
          <rPr>
            <b/>
            <sz val="9"/>
            <rFont val="Tahoma"/>
            <family val="2"/>
          </rPr>
          <t>80123558:</t>
        </r>
        <r>
          <rPr>
            <sz val="9"/>
            <rFont val="Tahoma"/>
            <family val="2"/>
          </rPr>
          <t xml:space="preserve">
Devuelve el valor agregado de las incertidumbre para la categoría en referencia.</t>
        </r>
      </text>
    </comment>
    <comment ref="BC64" authorId="1" shapeId="0" xr:uid="{592F3387-E164-4253-ACA8-ABC1DF3A1822}">
      <text>
        <r>
          <rPr>
            <b/>
            <sz val="9"/>
            <rFont val="Tahoma"/>
            <family val="2"/>
          </rPr>
          <t>80123558:</t>
        </r>
        <r>
          <rPr>
            <sz val="9"/>
            <rFont val="Tahoma"/>
            <family val="2"/>
          </rPr>
          <t xml:space="preserve">
Devuelve el valor agregado de las incertidumbre para la categoría en referencia.</t>
        </r>
      </text>
    </comment>
    <comment ref="BJ64" authorId="1" shapeId="0" xr:uid="{06618249-2A17-433E-BCB6-893BF686D7E0}">
      <text>
        <r>
          <rPr>
            <b/>
            <sz val="9"/>
            <rFont val="Tahoma"/>
            <family val="2"/>
          </rPr>
          <t>80123558:</t>
        </r>
        <r>
          <rPr>
            <sz val="9"/>
            <rFont val="Tahoma"/>
            <family val="2"/>
          </rPr>
          <t xml:space="preserve">
Devuelve el valor agregado de las incertidumbre para la categoría en referencia.</t>
        </r>
      </text>
    </comment>
    <comment ref="BR64" authorId="1" shapeId="0" xr:uid="{EA6BCF5A-7C6D-409E-91CE-3B23DD3D7D36}">
      <text>
        <r>
          <rPr>
            <b/>
            <sz val="9"/>
            <rFont val="Tahoma"/>
            <family val="2"/>
          </rPr>
          <t>80123558:</t>
        </r>
        <r>
          <rPr>
            <sz val="9"/>
            <rFont val="Tahoma"/>
            <family val="2"/>
          </rPr>
          <t xml:space="preserve">
Devuelve el valor agregado de las incertidumbre para la categoría en referencia.</t>
        </r>
      </text>
    </comment>
    <comment ref="BY64" authorId="1" shapeId="0" xr:uid="{EB21AB09-DBD1-4BCE-9A6C-FF2B48A09D98}">
      <text>
        <r>
          <rPr>
            <b/>
            <sz val="9"/>
            <rFont val="Tahoma"/>
            <family val="2"/>
          </rPr>
          <t>80123558:</t>
        </r>
        <r>
          <rPr>
            <sz val="9"/>
            <rFont val="Tahoma"/>
            <family val="2"/>
          </rPr>
          <t xml:space="preserve">
Devuelve el valor agregado de las incertidumbre para la categoría en referencia.</t>
        </r>
      </text>
    </comment>
    <comment ref="CB64" authorId="1" shapeId="0" xr:uid="{02BEEA8F-2A30-4BD7-8CC5-FCA21F9C6626}">
      <text>
        <r>
          <rPr>
            <b/>
            <sz val="9"/>
            <rFont val="Tahoma"/>
            <family val="2"/>
          </rPr>
          <t>80123558:</t>
        </r>
        <r>
          <rPr>
            <sz val="9"/>
            <rFont val="Tahoma"/>
            <family val="2"/>
          </rPr>
          <t xml:space="preserve">
Devuelve el valor agregado de las incertidumbre para la categoría en referencia.</t>
        </r>
      </text>
    </comment>
    <comment ref="AF72" authorId="1" shapeId="0" xr:uid="{5C60E610-171A-4C30-BBBB-A273720B400D}">
      <text>
        <r>
          <rPr>
            <b/>
            <sz val="9"/>
            <rFont val="Tahoma"/>
            <family val="2"/>
          </rPr>
          <t>80123558:</t>
        </r>
        <r>
          <rPr>
            <sz val="9"/>
            <rFont val="Tahoma"/>
            <family val="2"/>
          </rPr>
          <t xml:space="preserve">
Devuelve el valor agregado de las incertidumbre para la categoría en referencia.</t>
        </r>
      </text>
    </comment>
    <comment ref="AN72" authorId="1" shapeId="0" xr:uid="{8FB9F7A6-CB1D-4179-AFFA-AEB7863715B9}">
      <text>
        <r>
          <rPr>
            <b/>
            <sz val="9"/>
            <rFont val="Tahoma"/>
            <family val="2"/>
          </rPr>
          <t>80123558:</t>
        </r>
        <r>
          <rPr>
            <sz val="9"/>
            <rFont val="Tahoma"/>
            <family val="2"/>
          </rPr>
          <t xml:space="preserve">
Devuelve el valor agregado de las incertidumbre para la categoría en referencia.</t>
        </r>
      </text>
    </comment>
    <comment ref="AV72" authorId="1" shapeId="0" xr:uid="{28DD781F-3BD8-4976-B1E0-F3CB0A989434}">
      <text>
        <r>
          <rPr>
            <b/>
            <sz val="9"/>
            <rFont val="Tahoma"/>
            <family val="2"/>
          </rPr>
          <t>80123558:</t>
        </r>
        <r>
          <rPr>
            <sz val="9"/>
            <rFont val="Tahoma"/>
            <family val="2"/>
          </rPr>
          <t xml:space="preserve">
Devuelve el valor agregado de las incertidumbre para la categoría en referencia.</t>
        </r>
      </text>
    </comment>
    <comment ref="BC72" authorId="1" shapeId="0" xr:uid="{A36DE7B5-0A92-44C0-A169-E7291710D4B4}">
      <text>
        <r>
          <rPr>
            <b/>
            <sz val="9"/>
            <rFont val="Tahoma"/>
            <family val="2"/>
          </rPr>
          <t>80123558:</t>
        </r>
        <r>
          <rPr>
            <sz val="9"/>
            <rFont val="Tahoma"/>
            <family val="2"/>
          </rPr>
          <t xml:space="preserve">
Devuelve el valor agregado de las incertidumbre para la categoría en referencia.</t>
        </r>
      </text>
    </comment>
    <comment ref="BJ72" authorId="1" shapeId="0" xr:uid="{6223FAD7-80D6-45BD-8071-EC12C60BFE09}">
      <text>
        <r>
          <rPr>
            <b/>
            <sz val="9"/>
            <rFont val="Tahoma"/>
            <family val="2"/>
          </rPr>
          <t>80123558:</t>
        </r>
        <r>
          <rPr>
            <sz val="9"/>
            <rFont val="Tahoma"/>
            <family val="2"/>
          </rPr>
          <t xml:space="preserve">
Devuelve el valor agregado de las incertidumbre para la categoría en referencia.</t>
        </r>
      </text>
    </comment>
    <comment ref="BR72" authorId="1" shapeId="0" xr:uid="{775AD21B-46E6-478F-860E-5C27C1C70757}">
      <text>
        <r>
          <rPr>
            <b/>
            <sz val="9"/>
            <rFont val="Tahoma"/>
            <family val="2"/>
          </rPr>
          <t>80123558:</t>
        </r>
        <r>
          <rPr>
            <sz val="9"/>
            <rFont val="Tahoma"/>
            <family val="2"/>
          </rPr>
          <t xml:space="preserve">
Devuelve el valor agregado de las incertidumbre para la categoría en referencia.</t>
        </r>
      </text>
    </comment>
    <comment ref="BY72" authorId="1" shapeId="0" xr:uid="{2EC01E02-6307-489C-B68F-0BD98C713EDE}">
      <text>
        <r>
          <rPr>
            <b/>
            <sz val="9"/>
            <rFont val="Tahoma"/>
            <family val="2"/>
          </rPr>
          <t>80123558:</t>
        </r>
        <r>
          <rPr>
            <sz val="9"/>
            <rFont val="Tahoma"/>
            <family val="2"/>
          </rPr>
          <t xml:space="preserve">
Devuelve el valor agregado de las incertidumbre para la categoría en referencia.</t>
        </r>
      </text>
    </comment>
    <comment ref="CB72" authorId="1" shapeId="0" xr:uid="{7AC1AEFF-218F-4BC0-9CD1-7823D84ABAC5}">
      <text>
        <r>
          <rPr>
            <b/>
            <sz val="9"/>
            <rFont val="Tahoma"/>
            <family val="2"/>
          </rPr>
          <t>80123558:</t>
        </r>
        <r>
          <rPr>
            <sz val="9"/>
            <rFont val="Tahoma"/>
            <family val="2"/>
          </rPr>
          <t xml:space="preserve">
Devuelve el valor agregado de las incertidumbre para la categoría en referencia.</t>
        </r>
      </text>
    </comment>
    <comment ref="AF73" authorId="1" shapeId="0" xr:uid="{8D9DD3F1-4950-4628-B653-4BE4752941B6}">
      <text>
        <r>
          <rPr>
            <b/>
            <sz val="9"/>
            <rFont val="Tahoma"/>
            <family val="2"/>
          </rPr>
          <t>80123558:</t>
        </r>
        <r>
          <rPr>
            <sz val="9"/>
            <rFont val="Tahoma"/>
            <family val="2"/>
          </rPr>
          <t xml:space="preserve">
Devuelve el valor agregado de las incertidumbre para la categoría en referencia.</t>
        </r>
      </text>
    </comment>
    <comment ref="AN73" authorId="1" shapeId="0" xr:uid="{9EA0D44E-C81A-4F33-8029-D8DF3C68A5A1}">
      <text>
        <r>
          <rPr>
            <b/>
            <sz val="9"/>
            <rFont val="Tahoma"/>
            <family val="2"/>
          </rPr>
          <t>80123558:</t>
        </r>
        <r>
          <rPr>
            <sz val="9"/>
            <rFont val="Tahoma"/>
            <family val="2"/>
          </rPr>
          <t xml:space="preserve">
Devuelve el valor agregado de las incertidumbre para la categoría en referencia.</t>
        </r>
      </text>
    </comment>
    <comment ref="AV73" authorId="1" shapeId="0" xr:uid="{11411CEA-1908-43FE-A3CA-9802AFB45A13}">
      <text>
        <r>
          <rPr>
            <b/>
            <sz val="9"/>
            <rFont val="Tahoma"/>
            <family val="2"/>
          </rPr>
          <t>80123558:</t>
        </r>
        <r>
          <rPr>
            <sz val="9"/>
            <rFont val="Tahoma"/>
            <family val="2"/>
          </rPr>
          <t xml:space="preserve">
Devuelve el valor agregado de las incertidumbre para la categoría en referencia.</t>
        </r>
      </text>
    </comment>
    <comment ref="BC73" authorId="1" shapeId="0" xr:uid="{E2962063-9C32-4405-8077-B5A6917B54B7}">
      <text>
        <r>
          <rPr>
            <b/>
            <sz val="9"/>
            <rFont val="Tahoma"/>
            <family val="2"/>
          </rPr>
          <t>80123558:</t>
        </r>
        <r>
          <rPr>
            <sz val="9"/>
            <rFont val="Tahoma"/>
            <family val="2"/>
          </rPr>
          <t xml:space="preserve">
Devuelve el valor agregado de las incertidumbre para la categoría en referencia.</t>
        </r>
      </text>
    </comment>
    <comment ref="BJ73" authorId="1" shapeId="0" xr:uid="{B1E746CD-EEFB-4EA5-A79B-A3ADECC85CBF}">
      <text>
        <r>
          <rPr>
            <b/>
            <sz val="9"/>
            <rFont val="Tahoma"/>
            <family val="2"/>
          </rPr>
          <t>80123558:</t>
        </r>
        <r>
          <rPr>
            <sz val="9"/>
            <rFont val="Tahoma"/>
            <family val="2"/>
          </rPr>
          <t xml:space="preserve">
Devuelve el valor agregado de las incertidumbre para la categoría en referencia.</t>
        </r>
      </text>
    </comment>
    <comment ref="BR73" authorId="1" shapeId="0" xr:uid="{68A85E9B-4AAB-47AD-9C10-3B6641A034E4}">
      <text>
        <r>
          <rPr>
            <b/>
            <sz val="9"/>
            <rFont val="Tahoma"/>
            <family val="2"/>
          </rPr>
          <t>80123558:</t>
        </r>
        <r>
          <rPr>
            <sz val="9"/>
            <rFont val="Tahoma"/>
            <family val="2"/>
          </rPr>
          <t xml:space="preserve">
Devuelve el valor agregado de las incertidumbre para la categoría en referencia.</t>
        </r>
      </text>
    </comment>
    <comment ref="BY73" authorId="1" shapeId="0" xr:uid="{B37011A3-BA10-45B8-BE89-7359D537307B}">
      <text>
        <r>
          <rPr>
            <b/>
            <sz val="9"/>
            <rFont val="Tahoma"/>
            <family val="2"/>
          </rPr>
          <t>80123558:</t>
        </r>
        <r>
          <rPr>
            <sz val="9"/>
            <rFont val="Tahoma"/>
            <family val="2"/>
          </rPr>
          <t xml:space="preserve">
Devuelve el valor agregado de las incertidumbre para la categoría en referencia.</t>
        </r>
      </text>
    </comment>
    <comment ref="CB73" authorId="1" shapeId="0" xr:uid="{BF425E42-C916-4032-9B17-627E4038DA73}">
      <text>
        <r>
          <rPr>
            <b/>
            <sz val="9"/>
            <rFont val="Tahoma"/>
            <family val="2"/>
          </rPr>
          <t>80123558:</t>
        </r>
        <r>
          <rPr>
            <sz val="9"/>
            <rFont val="Tahoma"/>
            <family val="2"/>
          </rPr>
          <t xml:space="preserve">
Devuelve el valor agregado de las incertidumbre para la categoría en referencia.</t>
        </r>
      </text>
    </comment>
    <comment ref="CA76" authorId="1" shapeId="0" xr:uid="{00000000-0006-0000-0100-00008B000000}">
      <text>
        <r>
          <rPr>
            <b/>
            <sz val="9"/>
            <rFont val="Tahoma"/>
            <family val="2"/>
          </rPr>
          <t>80123558:</t>
        </r>
        <r>
          <rPr>
            <sz val="9"/>
            <rFont val="Tahoma"/>
            <family val="2"/>
          </rPr>
          <t xml:space="preserve">
Devuelve el valor de las emisiones de GEI asociadas a la variable elegida.</t>
        </r>
      </text>
    </comment>
    <comment ref="CB76" authorId="1" shapeId="0" xr:uid="{00000000-0006-0000-0100-00008C000000}">
      <text>
        <r>
          <rPr>
            <b/>
            <sz val="9"/>
            <rFont val="Tahoma"/>
            <family val="2"/>
          </rPr>
          <t>80123558:</t>
        </r>
        <r>
          <rPr>
            <sz val="9"/>
            <rFont val="Tahoma"/>
            <family val="2"/>
          </rPr>
          <t xml:space="preserve">
Devuelve el valor de la incertidumbre estimada, asociada al calculo de las emisiones de GEI de la variable elegida.</t>
        </r>
      </text>
    </comment>
    <comment ref="I77" authorId="2" shapeId="0" xr:uid="{A20983AF-DCC0-4C26-A5C9-8157373EFFF0}">
      <text>
        <r>
          <rPr>
            <b/>
            <sz val="9"/>
            <color indexed="81"/>
            <rFont val="Tahoma"/>
            <family val="2"/>
          </rPr>
          <t>HCP:</t>
        </r>
        <r>
          <rPr>
            <sz val="9"/>
            <color indexed="81"/>
            <rFont val="Tahoma"/>
            <family val="2"/>
          </rPr>
          <t xml:space="preserve"> </t>
        </r>
        <r>
          <rPr>
            <sz val="12"/>
            <color indexed="81"/>
            <rFont val="Tahoma"/>
            <family val="2"/>
          </rPr>
          <t>incluir el valor de la biomasa aérea generada por el inventario forestal del área impactada.
En caso de no contar con este, dirigirse a la pestaña "otros datos" y utilizar el dato por defecto nacional que corresponda y multiplicarlo por la superficie impactada.</t>
        </r>
      </text>
    </comment>
    <comment ref="K78" authorId="3" shapeId="0" xr:uid="{7D52571F-1C4A-464C-AF03-802CDB7719C0}">
      <text>
        <r>
          <rPr>
            <b/>
            <sz val="9"/>
            <color indexed="81"/>
            <rFont val="Tahoma"/>
            <family val="2"/>
          </rPr>
          <t>Gabriela Marie Santamaría George:</t>
        </r>
        <r>
          <rPr>
            <sz val="9"/>
            <color indexed="81"/>
            <rFont val="Tahoma"/>
            <family val="2"/>
          </rPr>
          <t xml:space="preserve">
Validar esta fórmula
Cultivos, pastizales y árboles dispersos no debe generar el dato del proyecto
</t>
        </r>
      </text>
    </comment>
    <comment ref="B93" authorId="0" shapeId="0" xr:uid="{00000000-0006-0000-0100-0000A1000000}">
      <text>
        <r>
          <rPr>
            <b/>
            <sz val="9"/>
            <rFont val="Tahoma"/>
            <family val="2"/>
          </rPr>
          <t xml:space="preserve">HCP:
</t>
        </r>
        <r>
          <rPr>
            <sz val="9"/>
            <color indexed="81"/>
            <rFont val="Tahoma"/>
            <family val="2"/>
          </rPr>
          <t xml:space="preserve">Identifique las fuentes de emisión que correspondan a su proyecto y los datos de actividad requeridos para el diligenciamiento de la herramienta. </t>
        </r>
      </text>
    </comment>
    <comment ref="E93" authorId="1" shapeId="0" xr:uid="{00000000-0006-0000-0100-0000A4000000}">
      <text>
        <r>
          <rPr>
            <b/>
            <sz val="9"/>
            <rFont val="Tahoma"/>
            <family val="2"/>
          </rPr>
          <t xml:space="preserve">HCP:
</t>
        </r>
        <r>
          <rPr>
            <sz val="9"/>
            <color indexed="81"/>
            <rFont val="Tahoma"/>
            <family val="2"/>
          </rPr>
          <t>Despliegue la lista y seleccione la categoría de datos de actividad asociada al consumo.</t>
        </r>
      </text>
    </comment>
    <comment ref="CA93" authorId="1" shapeId="0" xr:uid="{00000000-0006-0000-0100-0000A5000000}">
      <text>
        <r>
          <rPr>
            <b/>
            <sz val="9"/>
            <rFont val="Tahoma"/>
            <family val="2"/>
          </rPr>
          <t>80123558:</t>
        </r>
        <r>
          <rPr>
            <sz val="9"/>
            <rFont val="Tahoma"/>
            <family val="2"/>
          </rPr>
          <t xml:space="preserve">
Devuelve el valor de las emisiones de GEI asociadas a la variable elegida.</t>
        </r>
      </text>
    </comment>
    <comment ref="CB93" authorId="1" shapeId="0" xr:uid="{00000000-0006-0000-0100-0000A6000000}">
      <text>
        <r>
          <rPr>
            <b/>
            <sz val="9"/>
            <rFont val="Tahoma"/>
            <family val="2"/>
          </rPr>
          <t>80123558:</t>
        </r>
        <r>
          <rPr>
            <sz val="9"/>
            <rFont val="Tahoma"/>
            <family val="2"/>
          </rPr>
          <t xml:space="preserve">
Devuelve el valor de la incertidumbre estimada, asociada al calculo de las emisiones de GEI de la variable elegida.</t>
        </r>
      </text>
    </comment>
    <comment ref="F94" authorId="1" shapeId="0" xr:uid="{00000000-0006-0000-0100-0000A7000000}">
      <text>
        <r>
          <rPr>
            <b/>
            <sz val="9"/>
            <rFont val="Tahoma"/>
            <family val="2"/>
          </rPr>
          <t xml:space="preserve">HCP:
</t>
        </r>
        <r>
          <rPr>
            <sz val="9"/>
            <color indexed="81"/>
            <rFont val="Tahoma"/>
            <family val="2"/>
          </rPr>
          <t>Indica la unidad en la que deben ser consignados los datos de consumo asociados a la variable elegida en la columna anterior.</t>
        </r>
      </text>
    </comment>
    <comment ref="G94" authorId="1" shapeId="0" xr:uid="{7D1C5C24-8D13-439A-8790-4E009605ED9A}">
      <text>
        <r>
          <rPr>
            <b/>
            <sz val="9"/>
            <rFont val="Tahoma"/>
            <family val="2"/>
          </rPr>
          <t xml:space="preserve">HCP:
</t>
        </r>
        <r>
          <rPr>
            <sz val="9"/>
            <rFont val="Tahoma"/>
            <family val="2"/>
          </rPr>
          <t>Incluya el valor del primer (o único) dato asociado a la variable correspondiente, en las unidades descritas en la columna "UNIDAD".</t>
        </r>
      </text>
    </comment>
    <comment ref="H94" authorId="1" shapeId="0" xr:uid="{1189E1D2-1011-4A27-813A-91924A92B3B4}">
      <text>
        <r>
          <rPr>
            <b/>
            <sz val="9"/>
            <color indexed="81"/>
            <rFont val="Tahoma"/>
            <family val="2"/>
          </rPr>
          <t>HCP:</t>
        </r>
        <r>
          <rPr>
            <sz val="9"/>
            <rFont val="Tahoma"/>
            <family val="2"/>
          </rPr>
          <t xml:space="preserve">
Incluya el valor del segundo dato asociado a la variable correspondiente, en las unidades descritas en la columna "UNIDAD". Si solamente cuenta con un dato asociado a esta variable para el calculo de las emisiones anuales, no diligencie esta casilla (es importante que no se usen ceros en la casilla, o la herramienta asumirá el cero como un dato)</t>
        </r>
      </text>
    </comment>
    <comment ref="I94" authorId="1" shapeId="0" xr:uid="{3ED2FFA0-67AD-43DF-A148-E50C16A82ED1}">
      <text>
        <r>
          <rPr>
            <b/>
            <sz val="9"/>
            <rFont val="Tahoma"/>
            <family val="2"/>
          </rPr>
          <t>HCP:</t>
        </r>
        <r>
          <rPr>
            <sz val="9"/>
            <rFont val="Tahoma"/>
            <family val="2"/>
          </rPr>
          <t xml:space="preserve">
Incluya el valor del tercer dato asociado a la variable correspondiente, en las unidades descritas en la columna "UNIDAD". Si solamente cuenta con dos datos asociados a esta variable para el calculo de las emisiones anuales, no diligencie esta casilla (es importante que no se usen ceros en la casilla, o la herramienta asumirá el cero como un dato)</t>
        </r>
      </text>
    </comment>
    <comment ref="J94" authorId="1" shapeId="0" xr:uid="{6405FCD1-DE71-4146-91E4-DDD6CDF34E69}">
      <text>
        <r>
          <rPr>
            <b/>
            <sz val="9"/>
            <rFont val="Tahoma"/>
            <family val="2"/>
          </rPr>
          <t>HCP:</t>
        </r>
        <r>
          <rPr>
            <sz val="9"/>
            <rFont val="Tahoma"/>
            <family val="2"/>
          </rPr>
          <t xml:space="preserve">
Incluya el valor del cuarto dato asociado a la variable correspondiente, en las unidades descritas en la columna "UNIDAD". Si solamente cuenta con tres datos asociados a esta variable para el calculo de las emisiones anuales, no diligencie esta casilla (es importante que no se usen ceros en la casilla, o la herramienta asumirá el cero como un dato</t>
        </r>
      </text>
    </comment>
    <comment ref="K94" authorId="1" shapeId="0" xr:uid="{A2AC77D4-8C7A-4BA4-88A6-D4D3E96230D5}">
      <text>
        <r>
          <rPr>
            <b/>
            <sz val="9"/>
            <rFont val="Tahoma"/>
            <family val="2"/>
          </rPr>
          <t>HCP:</t>
        </r>
        <r>
          <rPr>
            <sz val="9"/>
            <rFont val="Tahoma"/>
            <family val="2"/>
          </rPr>
          <t xml:space="preserve">
Incluya el valor del quinto dato asociado a la variable correspondiente, en las unidades descritas en la columna "UNIDAD". Si solamente cuenta con cuatro datos asociados a esta variable para el calculo de las emisiones anuales, no diligencie esta casilla (es importante que no se usen ceros en la casilla, o la herramienta asumirá el cero como un dato</t>
        </r>
      </text>
    </comment>
    <comment ref="L94" authorId="1" shapeId="0" xr:uid="{571F630D-642C-4E4F-8823-910F87DCC074}">
      <text>
        <r>
          <rPr>
            <b/>
            <sz val="9"/>
            <rFont val="Tahoma"/>
            <family val="2"/>
          </rPr>
          <t>HCP:</t>
        </r>
        <r>
          <rPr>
            <sz val="9"/>
            <rFont val="Tahoma"/>
            <family val="2"/>
          </rPr>
          <t xml:space="preserve">
Incluya el valor del sexto dato asociado a la variable correspondiente, en las unidades descritas en la columna "UNIDAD". Si solamente cuenta con cinco datos asociados a esta variable para el calculo de las emisiones anuales, no diligencie esta casilla (es importante que no se usen ceros en la casilla, o la herramienta asumirá el cero como un dato</t>
        </r>
      </text>
    </comment>
    <comment ref="M94" authorId="1" shapeId="0" xr:uid="{E46C50BC-FF42-4323-9781-52E598ACF1CB}">
      <text>
        <r>
          <rPr>
            <b/>
            <sz val="9"/>
            <rFont val="Tahoma"/>
            <family val="2"/>
          </rPr>
          <t>HCP:</t>
        </r>
        <r>
          <rPr>
            <sz val="9"/>
            <rFont val="Tahoma"/>
            <family val="2"/>
          </rPr>
          <t xml:space="preserve">
Incluya el valor del séptimo dato asociado a la variable correspondiente, en las unidades descritas en la columna "UNIDAD". Si solamente cuenta con seis datos asociados a esta variable para el calculo de las emisiones anuales, no diligencie esta casilla (es importante que no se usen ceros en la casilla, o la herramienta asumirá el cero como un dato</t>
        </r>
      </text>
    </comment>
    <comment ref="N94" authorId="1" shapeId="0" xr:uid="{A698A6F9-42BA-4BAC-B0BA-5F541CFAAA28}">
      <text>
        <r>
          <rPr>
            <b/>
            <sz val="9"/>
            <rFont val="Tahoma"/>
            <family val="2"/>
          </rPr>
          <t>HCP:</t>
        </r>
        <r>
          <rPr>
            <sz val="9"/>
            <rFont val="Tahoma"/>
            <family val="2"/>
          </rPr>
          <t xml:space="preserve">
Incluya el valor del octavo dato asociado a la variable correspondiente, en las unidades descritas en la columna "UNIDAD". Si solamente cuenta con siete datos asociados a esta variable para el calculo de las emisiones anuales, no diligencie esta casilla (es importante que no se usen ceros en la casilla, o la herramienta asumirá el cero como un dato</t>
        </r>
      </text>
    </comment>
    <comment ref="O94" authorId="1" shapeId="0" xr:uid="{8BE049E5-EC32-43E8-A15E-8A06889B2A49}">
      <text>
        <r>
          <rPr>
            <b/>
            <sz val="9"/>
            <rFont val="Tahoma"/>
            <family val="2"/>
          </rPr>
          <t>HCP:</t>
        </r>
        <r>
          <rPr>
            <sz val="9"/>
            <rFont val="Tahoma"/>
            <family val="2"/>
          </rPr>
          <t xml:space="preserve">
Incluya el valor del noveno dato asociado a la variable correspondiente, en las unidades descritas en la columna "UNIDAD". Si solamente cuenta con ocho datos asociados a esta variable para el calculo de las emisiones anuales, no diligencie esta casilla (es importante que no se usen ceros en la casilla, o la herramienta asumirá el cero como un dato</t>
        </r>
      </text>
    </comment>
    <comment ref="P94" authorId="1" shapeId="0" xr:uid="{0DC60432-D086-494A-BAA4-8ABD5EE69243}">
      <text>
        <r>
          <rPr>
            <b/>
            <sz val="9"/>
            <rFont val="Tahoma"/>
            <family val="2"/>
          </rPr>
          <t>HCP:</t>
        </r>
        <r>
          <rPr>
            <sz val="9"/>
            <rFont val="Tahoma"/>
            <family val="2"/>
          </rPr>
          <t xml:space="preserve">
Incluya el valor del decimo dato asociado a la variable correspondiente, en las unidades descritas en la columna "UNIDAD". Si solamente cuenta con nueve datos asociados a esta variable para el calculo de las emisiones anuales, no diligencie esta casilla (es importante que no se usen ceros en la casilla, o la herramienta asumirá el cero como un dato</t>
        </r>
      </text>
    </comment>
    <comment ref="Q94" authorId="1" shapeId="0" xr:uid="{90B6634D-CD02-406F-896C-F582CE60EDB3}">
      <text>
        <r>
          <rPr>
            <b/>
            <sz val="9"/>
            <rFont val="Tahoma"/>
            <family val="2"/>
          </rPr>
          <t>HCP:</t>
        </r>
        <r>
          <rPr>
            <sz val="9"/>
            <rFont val="Tahoma"/>
            <family val="2"/>
          </rPr>
          <t xml:space="preserve">
Incluya el valor del undécimo dato asociado a la variable correspondiente, en las unidades descritas en la columna "UNIDAD". Si solamente cuenta con diez datos asociados a esta variable para el calculo de las emisiones anuales, no diligencie esta casilla (es importante que no se usen ceros en la casilla, o la herramienta asumirá el cero como un dato</t>
        </r>
      </text>
    </comment>
    <comment ref="R94" authorId="1" shapeId="0" xr:uid="{89858D6B-1722-4DE1-A360-2DF67196D921}">
      <text>
        <r>
          <rPr>
            <b/>
            <sz val="9"/>
            <rFont val="Tahoma"/>
            <family val="2"/>
          </rPr>
          <t>HCP:</t>
        </r>
        <r>
          <rPr>
            <sz val="9"/>
            <rFont val="Tahoma"/>
            <family val="2"/>
          </rPr>
          <t xml:space="preserve">
Incluya el valor del duodécimo dato asociado a la variable correspondiente, en las unidades descritas en la columna "UNIDAD". Si solamente cuenta con once datos asociados a esta variable para el calculo de las emisiones anuales, no diligencie esta casilla (es importante que no se usen ceros en la casilla, o la herramienta asumirá el cero como un dato.
Si su medición contempla el uso de mas de doce datos en el periodo estimado, por favor consulte esta situación a los responsables del proyecto MVC.</t>
        </r>
      </text>
    </comment>
    <comment ref="S94" authorId="1" shapeId="0" xr:uid="{00000000-0006-0000-0100-0000B4000000}">
      <text>
        <r>
          <rPr>
            <b/>
            <sz val="9"/>
            <rFont val="Tahoma"/>
            <family val="2"/>
          </rPr>
          <t>80123558:</t>
        </r>
        <r>
          <rPr>
            <sz val="9"/>
            <rFont val="Tahoma"/>
            <family val="2"/>
          </rPr>
          <t xml:space="preserve">
Devuelve el valor total del consumo asociado a cada variable.</t>
        </r>
      </text>
    </comment>
    <comment ref="T94" authorId="1" shapeId="0" xr:uid="{00000000-0006-0000-0100-0000B5000000}">
      <text>
        <r>
          <rPr>
            <b/>
            <sz val="9"/>
            <rFont val="Tahoma"/>
            <family val="2"/>
          </rPr>
          <t>80123558:</t>
        </r>
        <r>
          <rPr>
            <sz val="9"/>
            <rFont val="Tahoma"/>
            <family val="2"/>
          </rPr>
          <t xml:space="preserve">
Indica la cantidad de datos recogidos para calcular la Huella de Carbono asociada a cada variable. El número de datos debe estar comprendido entre un mínimo de un dato (cuando solamente se cuanta con un dato asociado a la variable en mención) y un máximo de 12 datos por cada variable (dependiendo de la disponibilidad de información de cada variable en la organización).
El numero de datos depende de la información con la que cuente la organización en sus registros. </t>
        </r>
      </text>
    </comment>
    <comment ref="U94" authorId="1" shapeId="0" xr:uid="{00000000-0006-0000-0100-0000B6000000}">
      <text>
        <r>
          <rPr>
            <b/>
            <sz val="9"/>
            <rFont val="Tahoma"/>
            <family val="2"/>
          </rPr>
          <t>80123558:</t>
        </r>
        <r>
          <rPr>
            <sz val="9"/>
            <rFont val="Tahoma"/>
            <family val="2"/>
          </rPr>
          <t xml:space="preserve">
Devuelve el promedio de los valores consignados en las casillas de "DATOS 1 al 12".</t>
        </r>
      </text>
    </comment>
    <comment ref="V94" authorId="1" shapeId="0" xr:uid="{00000000-0006-0000-0100-0000B7000000}">
      <text>
        <r>
          <rPr>
            <b/>
            <sz val="9"/>
            <rFont val="Tahoma"/>
            <family val="2"/>
          </rPr>
          <t>80123558:</t>
        </r>
        <r>
          <rPr>
            <sz val="9"/>
            <rFont val="Tahoma"/>
            <family val="2"/>
          </rPr>
          <t xml:space="preserve">
Devuelve la desviación estándar de los valores consignados en las casillas de "DATOS 1 al 12".</t>
        </r>
      </text>
    </comment>
    <comment ref="W94" authorId="1" shapeId="0" xr:uid="{00000000-0006-0000-0100-0000B8000000}">
      <text>
        <r>
          <rPr>
            <b/>
            <sz val="9"/>
            <rFont val="Tahoma"/>
            <family val="2"/>
          </rPr>
          <t>80123558:</t>
        </r>
        <r>
          <rPr>
            <sz val="9"/>
            <rFont val="Tahoma"/>
            <family val="2"/>
          </rPr>
          <t xml:space="preserve">
Devuelve el "factor T" de los valores consignados en las casillas de "DATOS 1 al 12". Los valores asociados a esta columna han sido propuestos por el anexo 1 de la "Guía corta para el calculo de la medición y estimación de la incertidumbre para emisiones de GHG", disponible en : http://www.ghgprotocol.org/files/ghgp/tools/ghg-uncertainty.pdf</t>
        </r>
      </text>
    </comment>
    <comment ref="X94" authorId="0" shapeId="0" xr:uid="{00000000-0006-0000-0100-0000B9000000}">
      <text>
        <r>
          <rPr>
            <b/>
            <sz val="9"/>
            <rFont val="Tahoma"/>
            <family val="2"/>
          </rPr>
          <t>80123558:</t>
        </r>
        <r>
          <rPr>
            <sz val="9"/>
            <rFont val="Tahoma"/>
            <family val="2"/>
          </rPr>
          <t xml:space="preserve">
Si lo conoce, indique el valor de incertidumbre asociado a los datos de actividad que está reportando, de lo contrario deje estas casillas sin diligenciar</t>
        </r>
      </text>
    </comment>
    <comment ref="Y94" authorId="1" shapeId="0" xr:uid="{00000000-0006-0000-0100-0000BA000000}">
      <text>
        <r>
          <rPr>
            <b/>
            <sz val="9"/>
            <rFont val="Tahoma"/>
            <family val="2"/>
          </rPr>
          <t>80123558:</t>
        </r>
        <r>
          <rPr>
            <sz val="9"/>
            <rFont val="Tahoma"/>
            <family val="2"/>
          </rPr>
          <t xml:space="preserve">
Si la organización no conce la incertidumbre relacionada con sus datos de actividad, devuelve el porcentaje de incertidumbre asociado a los datos de actividad consignados en las casillas "DATO 1 al 12", empleados para el calculo de la Huella de Carbono de la Organización.
Si solamente se cuenta con un dato para la estimación de las emisiones de GEI, la incertidumbre de la variable corresponderá al dato propuesto por el IPCC en el documento: "Orientación del IPCC sobre las buenas prácticas y la gestión de la incertidumbre en los inventarios nacionales de gases de efecto invernadero", disponible en: http://www.ipcc-nggip.iges.or.jp/public/gp/spanish/gpgaum_es.html
Si se cuenta con dos o mas datos para la estimación de las emisiones de GEI, el resultado corresponde a la metodología propuesta por el IPCC y adoptada por el GHG  Protocol, descrita en el documento:  "Guía corta para el calculo de la medición y estimación de la incertidumbre para emisiones de GHG", disponible en : http://www.ghgprotocol.org/files/ghgp/tools/ghg-uncertainty.pdf</t>
        </r>
      </text>
    </comment>
    <comment ref="B95" authorId="4" shapeId="0" xr:uid="{1E9E0D09-D7B9-4D80-B18B-37DF2B908545}">
      <text>
        <r>
          <rPr>
            <sz val="11"/>
            <color theme="1"/>
            <rFont val="Calibri"/>
            <charset val="134"/>
            <scheme val="minor"/>
          </rPr>
          <t>[Threaded comment]
Your version of Excel allows you to read this threaded comment; however, any edits to it will get removed if the file is opened in a newer version of Excel. Learn more: https://go.microsoft.com/fwlink/?linkid=870924
Comment:
    Agregar otra línea igualita</t>
        </r>
      </text>
    </comment>
    <comment ref="DV118" authorId="5" shapeId="0" xr:uid="{BAED61F7-5615-4546-ACE4-4BB68B99B80D}">
      <text>
        <r>
          <rPr>
            <b/>
            <sz val="9"/>
            <color indexed="81"/>
            <rFont val="Tahoma"/>
            <family val="2"/>
          </rPr>
          <t>MARGIE:</t>
        </r>
        <r>
          <rPr>
            <sz val="9"/>
            <color indexed="81"/>
            <rFont val="Tahoma"/>
            <family val="2"/>
          </rPr>
          <t xml:space="preserve">
</t>
        </r>
        <r>
          <rPr>
            <sz val="10"/>
            <color indexed="81"/>
            <rFont val="Tahoma"/>
            <family val="2"/>
          </rPr>
          <t xml:space="preserve">Si es este:
</t>
        </r>
        <r>
          <rPr>
            <i/>
            <sz val="10"/>
            <color indexed="81"/>
            <rFont val="Tahoma"/>
            <family val="2"/>
          </rPr>
          <t xml:space="preserve"> https://www.ipcc-nggip.iges.or.jp/public/wetlands/pdf/Wetlands_separate_files/WS_Chp4_Coastal_Wetlands.pdf</t>
        </r>
        <r>
          <rPr>
            <sz val="10"/>
            <color indexed="81"/>
            <rFont val="Tahoma"/>
            <family val="2"/>
          </rPr>
          <t xml:space="preserve">
Es:</t>
        </r>
        <r>
          <rPr>
            <b/>
            <sz val="10"/>
            <color indexed="81"/>
            <rFont val="Tahoma"/>
            <family val="2"/>
          </rPr>
          <t xml:space="preserve">  Suplemento de 2013 de las Directrices del IPCC de 2006 para los
inventarios nacionales de gases de efecto invernadero: humedales, Cap. 4, pag. 4.13, Cuadro 4.2</t>
        </r>
      </text>
    </comment>
    <comment ref="DS123" authorId="6" shapeId="0" xr:uid="{08FED087-CEB2-4304-B04D-472244552570}">
      <text>
        <r>
          <rPr>
            <b/>
            <sz val="9"/>
            <color indexed="81"/>
            <rFont val="Tahoma"/>
            <family val="2"/>
          </rPr>
          <t>Raul Gutierrez:</t>
        </r>
        <r>
          <rPr>
            <sz val="9"/>
            <color indexed="81"/>
            <rFont val="Tahoma"/>
            <family val="2"/>
          </rPr>
          <t xml:space="preserve">
0.283 provienne del Refinamiento 2019. Cuadro 4.4</t>
        </r>
      </text>
    </comment>
    <comment ref="DT123" authorId="6" shapeId="0" xr:uid="{A54D7810-24F4-4590-835B-804A46DEDA89}">
      <text>
        <r>
          <rPr>
            <b/>
            <sz val="9"/>
            <color indexed="81"/>
            <rFont val="Tahoma"/>
            <family val="2"/>
          </rPr>
          <t>Raul Gutierrez:</t>
        </r>
        <r>
          <rPr>
            <sz val="9"/>
            <color indexed="81"/>
            <rFont val="Tahoma"/>
            <family val="2"/>
          </rPr>
          <t xml:space="preserve">
refinamiento 2019 cuadro 4.4.</t>
        </r>
      </text>
    </comment>
    <comment ref="DU123" authorId="6" shapeId="0" xr:uid="{BCEA1DA8-1D5C-49B9-813E-6C719A05082A}">
      <text>
        <r>
          <rPr>
            <b/>
            <sz val="9"/>
            <color indexed="81"/>
            <rFont val="Tahoma"/>
            <family val="2"/>
          </rPr>
          <t>Raul Gutierrez:</t>
        </r>
        <r>
          <rPr>
            <sz val="9"/>
            <color indexed="81"/>
            <rFont val="Tahoma"/>
            <family val="2"/>
          </rPr>
          <t xml:space="preserve">
Tropical húmdo refinamiento cuadro 4.4</t>
        </r>
      </text>
    </comment>
    <comment ref="DS124" authorId="6" shapeId="0" xr:uid="{8717332A-09C6-44AF-B218-763D24F7796D}">
      <text>
        <r>
          <rPr>
            <b/>
            <sz val="9"/>
            <color indexed="81"/>
            <rFont val="Tahoma"/>
            <family val="2"/>
          </rPr>
          <t>Refinamiento 2019, cuadro 4.4., tropical montano biomasa&lt;125</t>
        </r>
      </text>
    </comment>
    <comment ref="DT124" authorId="6" shapeId="0" xr:uid="{980F8D35-C4BC-4F53-A101-52D587B77F8B}">
      <text>
        <r>
          <rPr>
            <b/>
            <sz val="9"/>
            <color indexed="81"/>
            <rFont val="Tahoma"/>
            <family val="2"/>
          </rPr>
          <t>Raul Gutierrez:</t>
        </r>
        <r>
          <rPr>
            <sz val="9"/>
            <color indexed="81"/>
            <rFont val="Tahoma"/>
            <family val="2"/>
          </rPr>
          <t xml:space="preserve">
</t>
        </r>
        <r>
          <rPr>
            <b/>
            <sz val="9"/>
            <color indexed="81"/>
            <rFont val="Tahoma"/>
            <family val="2"/>
          </rPr>
          <t>Refinamiento 2019, cuadro 4.4. (biomasa&lt;125)</t>
        </r>
      </text>
    </comment>
    <comment ref="DU124" authorId="6" shapeId="0" xr:uid="{B2915C24-52AD-406A-8B99-6C5C170926D3}">
      <text>
        <r>
          <rPr>
            <b/>
            <sz val="9"/>
            <color indexed="81"/>
            <rFont val="Tahoma"/>
            <family val="2"/>
          </rPr>
          <t>Cuadro 4.4 Bosque Humedo, con biomasa aérea&lt;125.</t>
        </r>
      </text>
    </comment>
    <comment ref="EB124" authorId="6" shapeId="0" xr:uid="{75FC1890-6745-492A-90BB-C82BCECBC90B}">
      <text>
        <r>
          <rPr>
            <b/>
            <sz val="9"/>
            <color indexed="81"/>
            <rFont val="Tahoma"/>
            <family val="2"/>
          </rPr>
          <t>Raul Gutierrez:</t>
        </r>
        <r>
          <rPr>
            <sz val="9"/>
            <color indexed="81"/>
            <rFont val="Tahoma"/>
            <family val="2"/>
          </rPr>
          <t xml:space="preserve">
0.283 provienne del Refinamiento 2019. Cuadro 4.4</t>
        </r>
      </text>
    </comment>
    <comment ref="DU125" authorId="7" shapeId="0" xr:uid="{9FD1AA5A-FDA0-4DEA-9963-42FC4C2D34D4}">
      <text>
        <r>
          <rPr>
            <b/>
            <sz val="9"/>
            <color indexed="81"/>
            <rFont val="Tahoma"/>
            <family val="2"/>
          </rPr>
          <t>Isaias Martínez:</t>
        </r>
        <r>
          <rPr>
            <sz val="9"/>
            <color indexed="81"/>
            <rFont val="Tahoma"/>
            <family val="2"/>
          </rPr>
          <t xml:space="preserve">
Wetland Suplement
Tabla 4.5</t>
        </r>
      </text>
    </comment>
    <comment ref="DV125" authorId="5" shapeId="0" xr:uid="{457EDAEE-67E7-4111-820C-6132D07AA18B}">
      <text>
        <r>
          <rPr>
            <b/>
            <sz val="9"/>
            <color indexed="81"/>
            <rFont val="Tahoma"/>
            <family val="2"/>
          </rPr>
          <t>MARGIE:</t>
        </r>
        <r>
          <rPr>
            <sz val="9"/>
            <color indexed="81"/>
            <rFont val="Tahoma"/>
            <family val="2"/>
          </rPr>
          <t xml:space="preserve">
</t>
        </r>
        <r>
          <rPr>
            <sz val="10"/>
            <color indexed="81"/>
            <rFont val="Tahoma"/>
            <family val="2"/>
          </rPr>
          <t xml:space="preserve">Si es este:
</t>
        </r>
        <r>
          <rPr>
            <i/>
            <sz val="10"/>
            <color indexed="81"/>
            <rFont val="Tahoma"/>
            <family val="2"/>
          </rPr>
          <t xml:space="preserve"> https://www.ipcc-nggip.iges.or.jp/public/wetlands/pdf/Wetlands_separate_files/WS_Chp4_Coastal_Wetlands.pdf</t>
        </r>
        <r>
          <rPr>
            <sz val="10"/>
            <color indexed="81"/>
            <rFont val="Tahoma"/>
            <family val="2"/>
          </rPr>
          <t xml:space="preserve">
Es:</t>
        </r>
        <r>
          <rPr>
            <b/>
            <sz val="10"/>
            <color indexed="81"/>
            <rFont val="Tahoma"/>
            <family val="2"/>
          </rPr>
          <t xml:space="preserve">  Suplemento de 2013 de las Directrices del IPCC de 2006 para los
inventarios nacionales de gases de efecto invernadero: humedales, Cap. 4, pag. 4.13, Cuadro 4.2</t>
        </r>
      </text>
    </comment>
    <comment ref="EB125" authorId="6" shapeId="0" xr:uid="{2A1D8A57-0967-43D7-A130-5A015285F090}">
      <text>
        <r>
          <rPr>
            <b/>
            <sz val="9"/>
            <color indexed="81"/>
            <rFont val="Tahoma"/>
            <family val="2"/>
          </rPr>
          <t>Raul Gutierrez:</t>
        </r>
        <r>
          <rPr>
            <sz val="9"/>
            <color indexed="81"/>
            <rFont val="Tahoma"/>
            <family val="2"/>
          </rPr>
          <t xml:space="preserve">
refinamiento 2019 cuadro 4.4.</t>
        </r>
      </text>
    </comment>
    <comment ref="DS126" authorId="6" shapeId="0" xr:uid="{B90144B3-7A06-49D3-B7F8-C2A79D591796}">
      <text>
        <r>
          <rPr>
            <b/>
            <sz val="9"/>
            <color indexed="81"/>
            <rFont val="Tahoma"/>
            <family val="2"/>
          </rPr>
          <t>Raul Gutierrez:</t>
        </r>
        <r>
          <rPr>
            <sz val="9"/>
            <color indexed="81"/>
            <rFont val="Tahoma"/>
            <family val="2"/>
          </rPr>
          <t xml:space="preserve">
Proviene del refinamiento 2019 cuadro 4.4 </t>
        </r>
      </text>
    </comment>
    <comment ref="EB126" authorId="6" shapeId="0" xr:uid="{A7655CBE-C976-45E7-BE5E-25BFC11531D2}">
      <text>
        <r>
          <rPr>
            <b/>
            <sz val="9"/>
            <color indexed="81"/>
            <rFont val="Tahoma"/>
            <family val="2"/>
          </rPr>
          <t>Raul Gutierrez:</t>
        </r>
        <r>
          <rPr>
            <sz val="9"/>
            <color indexed="81"/>
            <rFont val="Tahoma"/>
            <family val="2"/>
          </rPr>
          <t xml:space="preserve">
Tropical húmdo refinamiento cuadro 4.4</t>
        </r>
      </text>
    </comment>
    <comment ref="DR127" authorId="6" shapeId="0" xr:uid="{99B25BDF-A9A4-4320-941B-FBBB2760B71C}">
      <text>
        <r>
          <rPr>
            <b/>
            <sz val="9"/>
            <color indexed="81"/>
            <rFont val="Tahoma"/>
            <family val="2"/>
          </rPr>
          <t>Raul Gutierrez:</t>
        </r>
        <r>
          <rPr>
            <sz val="9"/>
            <color indexed="81"/>
            <rFont val="Tahoma"/>
            <family val="2"/>
          </rPr>
          <t xml:space="preserve">
Si en el refinamiento no existe factor R para conìferas, debe aplicarse el de plantaciones de latifoliadas</t>
        </r>
      </text>
    </comment>
    <comment ref="EB127" authorId="6" shapeId="0" xr:uid="{7ED81385-FACA-41E6-9DD8-C5FD5AD0EB80}">
      <text>
        <r>
          <rPr>
            <b/>
            <sz val="9"/>
            <color indexed="81"/>
            <rFont val="Tahoma"/>
            <family val="2"/>
          </rPr>
          <t>Refinamiento 2019, cuadro 4.4., tropical montano biomasa&lt;125</t>
        </r>
      </text>
    </comment>
    <comment ref="DS128" authorId="6" shapeId="0" xr:uid="{DB616A17-9231-4A8F-B022-6C497EBFDE52}">
      <text>
        <r>
          <rPr>
            <b/>
            <sz val="9"/>
            <color indexed="81"/>
            <rFont val="Tahoma"/>
            <family val="2"/>
          </rPr>
          <t>Raul Gutierrez:
Este valor parece alto</t>
        </r>
      </text>
    </comment>
    <comment ref="DT128" authorId="6" shapeId="0" xr:uid="{C42285D2-49B9-45A9-909D-4BA71EB0AB6F}">
      <text>
        <r>
          <rPr>
            <b/>
            <sz val="9"/>
            <color indexed="81"/>
            <rFont val="Tahoma"/>
            <family val="2"/>
          </rPr>
          <t>Raul Gutierrez:</t>
        </r>
        <r>
          <rPr>
            <sz val="9"/>
            <color indexed="81"/>
            <rFont val="Tahoma"/>
            <family val="2"/>
          </rPr>
          <t xml:space="preserve">
Este valor parece alto</t>
        </r>
      </text>
    </comment>
    <comment ref="DU128" authorId="6" shapeId="0" xr:uid="{D6546EFB-D7A3-4B49-9B0D-1DF9C19C5F6E}">
      <text>
        <r>
          <rPr>
            <b/>
            <sz val="9"/>
            <color indexed="81"/>
            <rFont val="Tahoma"/>
            <family val="2"/>
          </rPr>
          <t>Raul Gutierrez:</t>
        </r>
        <r>
          <rPr>
            <sz val="9"/>
            <color indexed="81"/>
            <rFont val="Tahoma"/>
            <family val="2"/>
          </rPr>
          <t xml:space="preserve">
Este valor parece alto</t>
        </r>
      </text>
    </comment>
    <comment ref="EB128" authorId="6" shapeId="0" xr:uid="{DF0B33E3-F551-4A46-9485-1983D7D8D1CB}">
      <text>
        <r>
          <rPr>
            <b/>
            <sz val="9"/>
            <color indexed="81"/>
            <rFont val="Tahoma"/>
            <family val="2"/>
          </rPr>
          <t>Raul Gutierrez:</t>
        </r>
        <r>
          <rPr>
            <sz val="9"/>
            <color indexed="81"/>
            <rFont val="Tahoma"/>
            <family val="2"/>
          </rPr>
          <t xml:space="preserve">
</t>
        </r>
        <r>
          <rPr>
            <b/>
            <sz val="9"/>
            <color indexed="81"/>
            <rFont val="Tahoma"/>
            <family val="2"/>
          </rPr>
          <t>Refinamiento 2019, cuadro 4.4. (biomasa&lt;125)</t>
        </r>
      </text>
    </comment>
    <comment ref="EB129" authorId="6" shapeId="0" xr:uid="{EFF080DD-A51F-4C3C-A7FC-E9B527F96738}">
      <text>
        <r>
          <rPr>
            <b/>
            <sz val="9"/>
            <color indexed="81"/>
            <rFont val="Tahoma"/>
            <family val="2"/>
          </rPr>
          <t>Cuadro 4.4 Bosque Humedo, con biomasa aérea&lt;125.</t>
        </r>
      </text>
    </comment>
    <comment ref="EB132" authorId="7" shapeId="0" xr:uid="{5735D535-BE3F-4D73-A485-D887CE340845}">
      <text>
        <r>
          <rPr>
            <b/>
            <sz val="9"/>
            <color indexed="81"/>
            <rFont val="Tahoma"/>
            <family val="2"/>
          </rPr>
          <t>Isaias Martínez:</t>
        </r>
        <r>
          <rPr>
            <sz val="9"/>
            <color indexed="81"/>
            <rFont val="Tahoma"/>
            <family val="2"/>
          </rPr>
          <t xml:space="preserve">
Wetland Suplement
Tabla 4.5</t>
        </r>
      </text>
    </comment>
    <comment ref="EB133" authorId="6" shapeId="0" xr:uid="{363044F6-1008-4C45-92E5-39FAF730889A}">
      <text>
        <r>
          <rPr>
            <b/>
            <sz val="9"/>
            <color indexed="81"/>
            <rFont val="Tahoma"/>
            <family val="2"/>
          </rPr>
          <t>Raul Gutierrez:</t>
        </r>
        <r>
          <rPr>
            <sz val="9"/>
            <color indexed="81"/>
            <rFont val="Tahoma"/>
            <family val="2"/>
          </rPr>
          <t xml:space="preserve">
Proviene del refinamiento 2019 cuadro 4.4 </t>
        </r>
      </text>
    </comment>
    <comment ref="EB139" authorId="6" shapeId="0" xr:uid="{2A517AF6-3508-4E24-BDEB-2095FB8E9AAA}">
      <text>
        <r>
          <rPr>
            <b/>
            <sz val="9"/>
            <color indexed="81"/>
            <rFont val="Tahoma"/>
            <family val="2"/>
          </rPr>
          <t>Raul Gutierrez:
Este valor parece alto</t>
        </r>
      </text>
    </comment>
    <comment ref="EB140" authorId="6" shapeId="0" xr:uid="{30A52FF6-60E8-4391-AFAC-D03BB1A61880}">
      <text>
        <r>
          <rPr>
            <b/>
            <sz val="9"/>
            <color indexed="81"/>
            <rFont val="Tahoma"/>
            <family val="2"/>
          </rPr>
          <t>Raul Gutierrez:</t>
        </r>
        <r>
          <rPr>
            <sz val="9"/>
            <color indexed="81"/>
            <rFont val="Tahoma"/>
            <family val="2"/>
          </rPr>
          <t xml:space="preserve">
Este valor parece alto</t>
        </r>
      </text>
    </comment>
    <comment ref="EB141" authorId="6" shapeId="0" xr:uid="{258E3415-4AC2-40F5-9291-81043A635350}">
      <text>
        <r>
          <rPr>
            <b/>
            <sz val="9"/>
            <color indexed="81"/>
            <rFont val="Tahoma"/>
            <family val="2"/>
          </rPr>
          <t>Raul Gutierrez:</t>
        </r>
        <r>
          <rPr>
            <sz val="9"/>
            <color indexed="81"/>
            <rFont val="Tahoma"/>
            <family val="2"/>
          </rPr>
          <t xml:space="preserve">
Este valor parece alto</t>
        </r>
      </text>
    </comment>
    <comment ref="CF180" authorId="0" shapeId="0" xr:uid="{00000000-0006-0000-0100-0000BB000000}">
      <text>
        <r>
          <rPr>
            <b/>
            <sz val="9"/>
            <rFont val="Tahoma"/>
            <family val="2"/>
          </rPr>
          <t>LENOVO:</t>
        </r>
        <r>
          <rPr>
            <sz val="9"/>
            <rFont val="Tahoma"/>
            <family val="2"/>
          </rPr>
          <t xml:space="preserve">
FE = Contenido de carbono * factor adu * 44/12
Directrices del IPCC de 2006 para los inventarios nacionales de gases de efecto invernadero. Volumen 3: Procesos industriales y uso de productos. ECUACIÓN 5.2 LUBRICANTES – MÉTODO DE NIVEL 1. Disponible en: https://www.ipcc-nggip.iges.or.jp/public/2006gl/spanish/pdf/3_Volume3/V3_5_Ch5_Non_Energy_Products.pdf</t>
        </r>
      </text>
    </comment>
    <comment ref="CF181" authorId="0" shapeId="0" xr:uid="{00000000-0006-0000-0100-0000BC000000}">
      <text>
        <r>
          <rPr>
            <b/>
            <sz val="9"/>
            <rFont val="Tahoma"/>
            <family val="2"/>
          </rPr>
          <t>LENOVO:</t>
        </r>
        <r>
          <rPr>
            <sz val="9"/>
            <rFont val="Tahoma"/>
            <family val="2"/>
          </rPr>
          <t xml:space="preserve">
FE = Contenido de carbono * factor adu * 44/12
Directrices del IPCC de 2006 para los inventarios nacionales de gases de efecto invernadero. Volumen 3: Procesos industriales y uso de productos. ECUACIÓN 5.2 LUBRICANTES – MÉTODO DE NIVEL 1. Disponible en: https://www.ipcc-nggip.iges.or.jp/public/2006gl/spanish/pdf/3_Volume3/V3_5_Ch5_Non_Energy_Products.pdf</t>
        </r>
      </text>
    </comment>
    <comment ref="CF198" authorId="0" shapeId="0" xr:uid="{00000000-0006-0000-0100-0000BD000000}">
      <text>
        <r>
          <rPr>
            <b/>
            <sz val="9"/>
            <rFont val="Tahoma"/>
            <family val="2"/>
          </rPr>
          <t>LENOVO:</t>
        </r>
        <r>
          <rPr>
            <sz val="9"/>
            <rFont val="Tahoma"/>
            <family val="2"/>
          </rPr>
          <t xml:space="preserve">
IPCC 2019. Corresponde a la sumatoria de las emisiones de minería y postextracción. Se toma el valor mayor para ser conservador. </t>
        </r>
      </text>
    </comment>
    <comment ref="CK198" authorId="0" shapeId="0" xr:uid="{00000000-0006-0000-0100-0000BE000000}">
      <text>
        <r>
          <rPr>
            <b/>
            <sz val="9"/>
            <rFont val="Tahoma"/>
            <family val="2"/>
          </rPr>
          <t>LENOVO:</t>
        </r>
        <r>
          <rPr>
            <sz val="9"/>
            <rFont val="Tahoma"/>
            <family val="2"/>
          </rPr>
          <t xml:space="preserve">
IPCC 2019. Se toma el valor mayor para ser conservador. </t>
        </r>
      </text>
    </comment>
    <comment ref="CP198" authorId="0" shapeId="0" xr:uid="{00000000-0006-0000-0100-0000BF000000}">
      <text>
        <r>
          <rPr>
            <b/>
            <sz val="9"/>
            <rFont val="Tahoma"/>
            <family val="2"/>
          </rPr>
          <t>LENOVO:</t>
        </r>
        <r>
          <rPr>
            <sz val="9"/>
            <rFont val="Tahoma"/>
            <family val="2"/>
          </rPr>
          <t xml:space="preserve">
IPCC 2019. Se toma el valor mayor para ser conservador. </t>
        </r>
      </text>
    </comment>
    <comment ref="CF199" authorId="0" shapeId="0" xr:uid="{00000000-0006-0000-0100-0000C0000000}">
      <text>
        <r>
          <rPr>
            <b/>
            <sz val="9"/>
            <rFont val="Tahoma"/>
            <family val="2"/>
          </rPr>
          <t>LENOVO:</t>
        </r>
        <r>
          <rPr>
            <sz val="9"/>
            <rFont val="Tahoma"/>
            <family val="2"/>
          </rPr>
          <t xml:space="preserve">
IPCC 2019. Corresponde a la sumatoria de las emisiones de minería y postextracción. Se toma el valor mayor para ser conservador. </t>
        </r>
      </text>
    </comment>
    <comment ref="CK199" authorId="0" shapeId="0" xr:uid="{00000000-0006-0000-0100-0000C1000000}">
      <text>
        <r>
          <rPr>
            <b/>
            <sz val="9"/>
            <rFont val="Tahoma"/>
            <family val="2"/>
          </rPr>
          <t>LENOVO:</t>
        </r>
        <r>
          <rPr>
            <sz val="9"/>
            <rFont val="Tahoma"/>
            <family val="2"/>
          </rPr>
          <t xml:space="preserve">
IPCC 2019. Se toma el valor mayor para ser conservador. </t>
        </r>
      </text>
    </comment>
    <comment ref="CP199" authorId="0" shapeId="0" xr:uid="{00000000-0006-0000-0100-0000C2000000}">
      <text>
        <r>
          <rPr>
            <b/>
            <sz val="9"/>
            <rFont val="Tahoma"/>
            <family val="2"/>
          </rPr>
          <t>LENOVO:</t>
        </r>
        <r>
          <rPr>
            <sz val="9"/>
            <rFont val="Tahoma"/>
            <family val="2"/>
          </rPr>
          <t xml:space="preserve">
IPCC 2019. Se toma el valor mayor para ser conservador. </t>
        </r>
      </text>
    </comment>
    <comment ref="CP203" authorId="0" shapeId="0" xr:uid="{00000000-0006-0000-0100-0000C3000000}">
      <text>
        <r>
          <rPr>
            <b/>
            <sz val="9"/>
            <rFont val="Tahoma"/>
            <family val="2"/>
          </rPr>
          <t>LENOVO:</t>
        </r>
        <r>
          <rPr>
            <sz val="9"/>
            <rFont val="Tahoma"/>
            <family val="2"/>
          </rPr>
          <t xml:space="preserve">
IPCC 2019. Se toma el valor mayor para ser conservador. </t>
        </r>
      </text>
    </comment>
    <comment ref="CP204" authorId="0" shapeId="0" xr:uid="{00000000-0006-0000-0100-0000C4000000}">
      <text>
        <r>
          <rPr>
            <b/>
            <sz val="9"/>
            <rFont val="Tahoma"/>
            <family val="2"/>
          </rPr>
          <t>LENOVO:</t>
        </r>
        <r>
          <rPr>
            <sz val="9"/>
            <rFont val="Tahoma"/>
            <family val="2"/>
          </rPr>
          <t xml:space="preserve">
IPCC 2019. Se toma el valor mayor para ser conservador. </t>
        </r>
      </text>
    </comment>
    <comment ref="CK205" authorId="0" shapeId="0" xr:uid="{00000000-0006-0000-0100-0000C5000000}">
      <text>
        <r>
          <rPr>
            <b/>
            <sz val="9"/>
            <rFont val="Tahoma"/>
            <family val="2"/>
          </rPr>
          <t>LENOVO:</t>
        </r>
        <r>
          <rPr>
            <sz val="9"/>
            <rFont val="Tahoma"/>
            <family val="2"/>
          </rPr>
          <t xml:space="preserve">
IPCC 2019. Se toma el valor mayor para ser conservador. </t>
        </r>
      </text>
    </comment>
    <comment ref="CP205" authorId="0" shapeId="0" xr:uid="{00000000-0006-0000-0100-0000C6000000}">
      <text>
        <r>
          <rPr>
            <b/>
            <sz val="9"/>
            <rFont val="Tahoma"/>
            <family val="2"/>
          </rPr>
          <t>LENOVO:</t>
        </r>
        <r>
          <rPr>
            <sz val="9"/>
            <rFont val="Tahoma"/>
            <family val="2"/>
          </rPr>
          <t xml:space="preserve">
IPCC 2019. Se toma el valor mayor para ser conservador. </t>
        </r>
      </text>
    </comment>
    <comment ref="CK206" authorId="0" shapeId="0" xr:uid="{00000000-0006-0000-0100-0000C7000000}">
      <text>
        <r>
          <rPr>
            <b/>
            <sz val="9"/>
            <rFont val="Tahoma"/>
            <family val="2"/>
          </rPr>
          <t>LENOVO:</t>
        </r>
        <r>
          <rPr>
            <sz val="9"/>
            <rFont val="Tahoma"/>
            <family val="2"/>
          </rPr>
          <t xml:space="preserve">
IPCC 2019. Se toma el valor mayor para ser conservador. </t>
        </r>
      </text>
    </comment>
    <comment ref="CP206" authorId="0" shapeId="0" xr:uid="{00000000-0006-0000-0100-0000C8000000}">
      <text>
        <r>
          <rPr>
            <b/>
            <sz val="9"/>
            <rFont val="Tahoma"/>
            <family val="2"/>
          </rPr>
          <t>LENOVO:</t>
        </r>
        <r>
          <rPr>
            <sz val="9"/>
            <rFont val="Tahoma"/>
            <family val="2"/>
          </rPr>
          <t xml:space="preserve">
IPCC 2019. Se toma el valor mayor para ser conservador. </t>
        </r>
      </text>
    </comment>
    <comment ref="CP210" authorId="0" shapeId="0" xr:uid="{00000000-0006-0000-0100-0000C9000000}">
      <text>
        <r>
          <rPr>
            <b/>
            <sz val="9"/>
            <rFont val="Tahoma"/>
            <family val="2"/>
          </rPr>
          <t>LENOVO:</t>
        </r>
        <r>
          <rPr>
            <sz val="9"/>
            <rFont val="Tahoma"/>
            <family val="2"/>
          </rPr>
          <t xml:space="preserve">
IPCC 2019. Se toma el valor mayor para ser conservador. </t>
        </r>
      </text>
    </comment>
    <comment ref="CP211" authorId="0" shapeId="0" xr:uid="{00000000-0006-0000-0100-0000CA000000}">
      <text>
        <r>
          <rPr>
            <b/>
            <sz val="9"/>
            <rFont val="Tahoma"/>
            <family val="2"/>
          </rPr>
          <t>LENOVO:</t>
        </r>
        <r>
          <rPr>
            <sz val="9"/>
            <rFont val="Tahoma"/>
            <family val="2"/>
          </rPr>
          <t xml:space="preserve">
IPCC 2019. Se toma el valor mayor para ser conservador. </t>
        </r>
      </text>
    </comment>
    <comment ref="CP212" authorId="0" shapeId="0" xr:uid="{00000000-0006-0000-0100-0000CB000000}">
      <text>
        <r>
          <rPr>
            <b/>
            <sz val="9"/>
            <rFont val="Tahoma"/>
            <family val="2"/>
          </rPr>
          <t>LENOVO:</t>
        </r>
        <r>
          <rPr>
            <sz val="9"/>
            <rFont val="Tahoma"/>
            <family val="2"/>
          </rPr>
          <t xml:space="preserve">
IPCC 2019. Se toma el valor mayor para ser conservador. </t>
        </r>
      </text>
    </comment>
    <comment ref="CP213" authorId="0" shapeId="0" xr:uid="{00000000-0006-0000-0100-0000CC000000}">
      <text>
        <r>
          <rPr>
            <b/>
            <sz val="9"/>
            <rFont val="Tahoma"/>
            <family val="2"/>
          </rPr>
          <t>LENOVO:</t>
        </r>
        <r>
          <rPr>
            <sz val="9"/>
            <rFont val="Tahoma"/>
            <family val="2"/>
          </rPr>
          <t xml:space="preserve">
IPCC 2019. Se toma el valor mayor para ser conservador. </t>
        </r>
      </text>
    </comment>
    <comment ref="CP214" authorId="0" shapeId="0" xr:uid="{00000000-0006-0000-0100-0000CD000000}">
      <text>
        <r>
          <rPr>
            <b/>
            <sz val="9"/>
            <rFont val="Tahoma"/>
            <family val="2"/>
          </rPr>
          <t>LENOVO:</t>
        </r>
        <r>
          <rPr>
            <sz val="9"/>
            <rFont val="Tahoma"/>
            <family val="2"/>
          </rPr>
          <t xml:space="preserve">
IPCC 2019. Se toma el valor mayor para ser conservador. </t>
        </r>
      </text>
    </comment>
    <comment ref="CP215" authorId="0" shapeId="0" xr:uid="{00000000-0006-0000-0100-0000CE000000}">
      <text>
        <r>
          <rPr>
            <b/>
            <sz val="9"/>
            <rFont val="Tahoma"/>
            <family val="2"/>
          </rPr>
          <t>LENOVO:</t>
        </r>
        <r>
          <rPr>
            <sz val="9"/>
            <rFont val="Tahoma"/>
            <family val="2"/>
          </rPr>
          <t xml:space="preserve">
IPCC 2019. Se toma el valor mayor para ser conservador. </t>
        </r>
      </text>
    </comment>
    <comment ref="CP216" authorId="0" shapeId="0" xr:uid="{00000000-0006-0000-0100-0000CF000000}">
      <text>
        <r>
          <rPr>
            <b/>
            <sz val="9"/>
            <rFont val="Tahoma"/>
            <family val="2"/>
          </rPr>
          <t>LENOVO:</t>
        </r>
        <r>
          <rPr>
            <sz val="9"/>
            <rFont val="Tahoma"/>
            <family val="2"/>
          </rPr>
          <t xml:space="preserve">
IPCC 2019. Se toma el valor mayor para ser conservador. </t>
        </r>
      </text>
    </comment>
    <comment ref="CP217" authorId="0" shapeId="0" xr:uid="{00000000-0006-0000-0100-0000D0000000}">
      <text>
        <r>
          <rPr>
            <b/>
            <sz val="9"/>
            <rFont val="Tahoma"/>
            <family val="2"/>
          </rPr>
          <t>LENOVO:</t>
        </r>
        <r>
          <rPr>
            <sz val="9"/>
            <rFont val="Tahoma"/>
            <family val="2"/>
          </rPr>
          <t xml:space="preserve">
IPCC 2019. Se toma el valor mayor para ser conservador. </t>
        </r>
      </text>
    </comment>
    <comment ref="CF218" authorId="0" shapeId="0" xr:uid="{00000000-0006-0000-0100-0000D1000000}">
      <text>
        <r>
          <rPr>
            <b/>
            <sz val="9"/>
            <rFont val="Tahoma"/>
            <family val="2"/>
          </rPr>
          <t>LENOVO:</t>
        </r>
        <r>
          <rPr>
            <sz val="9"/>
            <rFont val="Tahoma"/>
            <family val="2"/>
          </rPr>
          <t xml:space="preserve">
factor de emisión genérico que puede requerir ajustes de acuerdo al tipo de cultivo, irrigación y abono
IPCC 2019 V4_05_Ch5_Cropland_Num 5.5.2_Table 5.11</t>
        </r>
      </text>
    </comment>
    <comment ref="CF242" authorId="0" shapeId="0" xr:uid="{00000000-0006-0000-0100-0000D2000000}">
      <text>
        <r>
          <rPr>
            <b/>
            <sz val="9"/>
            <rFont val="Tahoma"/>
            <family val="2"/>
          </rPr>
          <t>LENOVO:</t>
        </r>
        <r>
          <rPr>
            <sz val="9"/>
            <rFont val="Tahoma"/>
            <family val="2"/>
          </rPr>
          <t xml:space="preserve">
Se incluye el valor mas conservador, pero este dependerá del tipo de planta de producción existente</t>
        </r>
      </text>
    </comment>
    <comment ref="AO256" authorId="0" shapeId="0" xr:uid="{00000000-0006-0000-0100-0000D3000000}">
      <text>
        <r>
          <rPr>
            <b/>
            <sz val="9"/>
            <rFont val="Tahoma"/>
            <family val="2"/>
          </rPr>
          <t>LENOVO:</t>
        </r>
        <r>
          <rPr>
            <sz val="9"/>
            <rFont val="Tahoma"/>
            <family val="2"/>
          </rPr>
          <t xml:space="preserve">
Fuente: Directrices del IPCC de 2006 para los inventarios nacionales de gases de efecto invernadero Capítulo 2: Datos de generación, composición y gestión de desechos. CUADRO 2.3. DATOS SOBRE COMPOSICIÓN DE LOS DSM - VALORES REGIONALES POR DEFECTO. https://www.ipcc-nggip.iges.or.jp/public/2006gl/spanish/pdf/5_Volume5/V5_2_Ch2_Waste_Data.pdf
Combinado con:
Directrices del IPCC de 2006 para los inventarios nacionales de gases de efecto invernadero Capítulo 2: Datos de generación, composición y gestión de desechos. CUADRO 2.4.  VALORES POR DEFECTO PARA CONTENIDOS DE MATERIA SECA, DOC, TOTAL DE CARBONO Y FRACCIÓN DE CARBONO FÓSIL EN VARIOS COMPONENTES DE DSM
https://www.ipcc-nggip.iges.or.jp/public/2006gl/spanish/pdf/5_Volume5/V5_2_Ch2_Waste_Data.pdf</t>
        </r>
      </text>
    </comment>
    <comment ref="AO257" authorId="0" shapeId="0" xr:uid="{00000000-0006-0000-0100-0000D4000000}">
      <text>
        <r>
          <rPr>
            <b/>
            <sz val="9"/>
            <rFont val="Tahoma"/>
            <family val="2"/>
          </rPr>
          <t>LENOVO:</t>
        </r>
        <r>
          <rPr>
            <sz val="9"/>
            <rFont val="Tahoma"/>
            <family val="2"/>
          </rPr>
          <t xml:space="preserve">
Fuente: http://repositorio.ucm.edu.co:8080/jspui/bitstream/handle/10839/1305/Laura%20Lizeth%20Gomez%20Molina.pdf?sequence=1&amp;isAllowed=y</t>
        </r>
      </text>
    </comment>
    <comment ref="AO258" authorId="0" shapeId="0" xr:uid="{00000000-0006-0000-0100-0000D5000000}">
      <text>
        <r>
          <rPr>
            <b/>
            <sz val="9"/>
            <rFont val="Tahoma"/>
            <family val="2"/>
          </rPr>
          <t>LENOVO:</t>
        </r>
        <r>
          <rPr>
            <sz val="9"/>
            <rFont val="Tahoma"/>
            <family val="2"/>
          </rPr>
          <t xml:space="preserve">
fuente:https://www.researchgate.net/publication/335543674_Quantification_and_Characterization_of_Medical_Waste</t>
        </r>
      </text>
    </comment>
    <comment ref="AO259" authorId="0" shapeId="0" xr:uid="{00000000-0006-0000-0100-0000D6000000}">
      <text>
        <r>
          <rPr>
            <b/>
            <sz val="9"/>
            <rFont val="Tahoma"/>
            <family val="2"/>
          </rPr>
          <t>LENOVO:</t>
        </r>
        <r>
          <rPr>
            <sz val="9"/>
            <rFont val="Tahoma"/>
            <family val="2"/>
          </rPr>
          <t xml:space="preserve">
Fuente: https://dialnet.unirioja.es/servlet/articulo?codigo=6572704</t>
        </r>
      </text>
    </comment>
    <comment ref="AO260" authorId="0" shapeId="0" xr:uid="{00000000-0006-0000-0100-0000D7000000}">
      <text>
        <r>
          <rPr>
            <b/>
            <sz val="9"/>
            <rFont val="Tahoma"/>
            <family val="2"/>
          </rPr>
          <t>LENOVO:</t>
        </r>
        <r>
          <rPr>
            <sz val="9"/>
            <rFont val="Tahoma"/>
            <family val="2"/>
          </rPr>
          <t xml:space="preserve">
El contenido de carbono total de los desechos fósiles líquidos se proporciona en porcentaje de peso húmedo y no en porcentaje de peso en
seco (GIO, 2005). </t>
        </r>
      </text>
    </comment>
    <comment ref="CD308" authorId="0" shapeId="0" xr:uid="{00000000-0006-0000-0100-0000D8000000}">
      <text>
        <r>
          <rPr>
            <b/>
            <sz val="9"/>
            <rFont val="Tahoma"/>
            <family val="2"/>
          </rPr>
          <t>LENOVO:</t>
        </r>
        <r>
          <rPr>
            <sz val="9"/>
            <rFont val="Tahoma"/>
            <family val="2"/>
          </rPr>
          <t xml:space="preserve">
Se pueden usar factores mas específicos en la parte izquierda de la tabla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tc={0D567DD3-3329-4592-90D4-E69D446C0855}</author>
  </authors>
  <commentList>
    <comment ref="C47" authorId="0" shapeId="0" xr:uid="{0D567DD3-3329-4592-90D4-E69D446C0855}">
      <text>
        <r>
          <rPr>
            <sz val="11"/>
            <color theme="1"/>
            <rFont val="Calibri"/>
            <charset val="134"/>
            <scheme val="minor"/>
          </rPr>
          <t>[Threaded comment]
Your version of Excel allows you to read this threaded comment; however, any edits to it will get removed if the file is opened in a newer version of Excel. Learn more: https://go.microsoft.com/fwlink/?linkid=870924
Comment:
    BCEFr
Reply:
    La r va en mayúscula pero chiquita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tc={5235A15E-2D38-4CA9-8A25-AE97C27477E7}</author>
  </authors>
  <commentList>
    <comment ref="E46" authorId="0" shapeId="0" xr:uid="{5235A15E-2D38-4CA9-8A25-AE97C27477E7}">
      <text>
        <r>
          <rPr>
            <sz val="11"/>
            <color theme="1"/>
            <rFont val="Calibri"/>
            <charset val="134"/>
            <scheme val="minor"/>
          </rPr>
          <t>[Threaded comment]
Your version of Excel allows you to read this threaded comment; however, any edits to it will get removed if the file is opened in a newer version of Excel. Learn more: https://go.microsoft.com/fwlink/?linkid=870924
Comment:
    Construir otra tabla con la tabla de “Factores de conversión BCEFR”</t>
        </r>
      </text>
    </comment>
  </commentList>
</comments>
</file>

<file path=xl/sharedStrings.xml><?xml version="1.0" encoding="utf-8"?>
<sst xmlns="http://schemas.openxmlformats.org/spreadsheetml/2006/main" count="2991" uniqueCount="900">
  <si>
    <t xml:space="preserve">                  </t>
  </si>
  <si>
    <t>HERRAMIENTA DE CÁLCULO DE EMISIONES DE GASES DE EFECTO INVERNADERO PARA PROYECTOS</t>
  </si>
  <si>
    <t>DATOS GENERALES  DEL PROYECTO</t>
  </si>
  <si>
    <t>NOMBRE DEL PROYECTO:</t>
  </si>
  <si>
    <t>PERSONA QUE ELABORA EL CÁLCULO:</t>
  </si>
  <si>
    <t>EMPRESA PROMOTORA:</t>
  </si>
  <si>
    <t>CORREO ELECTRÓNICO:</t>
  </si>
  <si>
    <t>CATEGORÍA DEL PROYECTO:</t>
  </si>
  <si>
    <t>TELÉFONO:</t>
  </si>
  <si>
    <t>CONTACTO DE LA PROMOTORA:</t>
  </si>
  <si>
    <t>RESOLUCIÓN</t>
  </si>
  <si>
    <t>CORREO ELECTRÓNICO DE LA PROMOTORA:</t>
  </si>
  <si>
    <t>PERIODO CALCULADO:</t>
  </si>
  <si>
    <t>ALCANCE 1</t>
  </si>
  <si>
    <t>FUENTES MÓVILES</t>
  </si>
  <si>
    <t>FUENTE DE EMISIÓN DE GEI
(Seleccione de la lista)</t>
  </si>
  <si>
    <t>REPORTE</t>
  </si>
  <si>
    <t>N/A</t>
  </si>
  <si>
    <t>DATOS DE ACTIVIDAD
(Seleccione de la lista el dato de actividad que va a reportar)</t>
  </si>
  <si>
    <t xml:space="preserve">VALOR DE DATO DE ACTIVIDAD </t>
  </si>
  <si>
    <t>INCERTIDUMBRE DATOS</t>
  </si>
  <si>
    <r>
      <t>EMISIONES CO</t>
    </r>
    <r>
      <rPr>
        <b/>
        <vertAlign val="subscript"/>
        <sz val="11"/>
        <rFont val="Avenir Next LT Pro"/>
        <family val="2"/>
      </rPr>
      <t>2</t>
    </r>
  </si>
  <si>
    <r>
      <t>EMISIONES CH</t>
    </r>
    <r>
      <rPr>
        <b/>
        <vertAlign val="subscript"/>
        <sz val="11"/>
        <rFont val="Avenir Next LT Pro"/>
        <family val="2"/>
      </rPr>
      <t>4</t>
    </r>
  </si>
  <si>
    <r>
      <t>EMISIONES N</t>
    </r>
    <r>
      <rPr>
        <b/>
        <vertAlign val="subscript"/>
        <sz val="11"/>
        <rFont val="Avenir Next LT Pro"/>
        <family val="2"/>
      </rPr>
      <t>2</t>
    </r>
    <r>
      <rPr>
        <b/>
        <sz val="11"/>
        <rFont val="Avenir Next LT Pro"/>
        <family val="2"/>
      </rPr>
      <t>O</t>
    </r>
  </si>
  <si>
    <t>EMISIONES HFC</t>
  </si>
  <si>
    <t>EMISIONES PFC</t>
  </si>
  <si>
    <r>
      <t>EMISIONES SF</t>
    </r>
    <r>
      <rPr>
        <b/>
        <vertAlign val="subscript"/>
        <sz val="11"/>
        <rFont val="Avenir Next LT Pro"/>
        <family val="2"/>
      </rPr>
      <t>6</t>
    </r>
  </si>
  <si>
    <t>EMISIONES CO2 BIOGÉNICO</t>
  </si>
  <si>
    <r>
      <t>HUELLA DE CARBONO
(t CO</t>
    </r>
    <r>
      <rPr>
        <b/>
        <vertAlign val="subscript"/>
        <sz val="11"/>
        <rFont val="Avenir Next LT Pro"/>
        <family val="2"/>
      </rPr>
      <t xml:space="preserve">2 </t>
    </r>
    <r>
      <rPr>
        <b/>
        <sz val="11"/>
        <rFont val="Avenir Next LT Pro"/>
        <family val="2"/>
      </rPr>
      <t>eq)</t>
    </r>
  </si>
  <si>
    <t>INCERTIDUMBRE DE LA FUENTE</t>
  </si>
  <si>
    <t>UNIDAD</t>
  </si>
  <si>
    <t>DATO 1</t>
  </si>
  <si>
    <t>DATO 2</t>
  </si>
  <si>
    <t>DATO 3</t>
  </si>
  <si>
    <t>DATO 4</t>
  </si>
  <si>
    <t>DATO 5</t>
  </si>
  <si>
    <t>DATO 6</t>
  </si>
  <si>
    <t>DATO 7</t>
  </si>
  <si>
    <t>DATO 8</t>
  </si>
  <si>
    <t>DATO 9</t>
  </si>
  <si>
    <t>DATO 10</t>
  </si>
  <si>
    <t>DATO 11</t>
  </si>
  <si>
    <t>DATO 12</t>
  </si>
  <si>
    <t>TOTAL</t>
  </si>
  <si>
    <t>No. DATOS</t>
  </si>
  <si>
    <t>PROMEDIO</t>
  </si>
  <si>
    <t>DESVIACION ESTÁNDAR</t>
  </si>
  <si>
    <t>FACTOR T</t>
  </si>
  <si>
    <t>INCERTIDUMBRE SISTEMATICA DATOS</t>
  </si>
  <si>
    <r>
      <t>FACTOR DE EMISIÓN CO</t>
    </r>
    <r>
      <rPr>
        <b/>
        <vertAlign val="subscript"/>
        <sz val="11"/>
        <rFont val="Avenir Next LT Pro"/>
        <family val="2"/>
      </rPr>
      <t>2</t>
    </r>
    <r>
      <rPr>
        <b/>
        <sz val="11"/>
        <rFont val="Avenir Next LT Pro"/>
        <family val="2"/>
      </rPr>
      <t>eq</t>
    </r>
  </si>
  <si>
    <t>FUENTE BIBLIOGRÁFICA</t>
  </si>
  <si>
    <r>
      <t>INCERTIDUMBRE FACTOR EMISIÓN CO</t>
    </r>
    <r>
      <rPr>
        <b/>
        <vertAlign val="subscript"/>
        <sz val="11"/>
        <rFont val="Avenir Next LT Pro"/>
        <family val="2"/>
      </rPr>
      <t>2</t>
    </r>
    <r>
      <rPr>
        <b/>
        <sz val="11"/>
        <rFont val="Avenir Next LT Pro"/>
        <family val="2"/>
      </rPr>
      <t>eq</t>
    </r>
  </si>
  <si>
    <r>
      <t>EMISIONES CO</t>
    </r>
    <r>
      <rPr>
        <b/>
        <vertAlign val="subscript"/>
        <sz val="11"/>
        <rFont val="Avenir Next LT Pro"/>
        <family val="2"/>
      </rPr>
      <t>2</t>
    </r>
    <r>
      <rPr>
        <b/>
        <sz val="11"/>
        <rFont val="Avenir Next LT Pro"/>
        <family val="2"/>
      </rPr>
      <t>eq (tCO</t>
    </r>
    <r>
      <rPr>
        <b/>
        <vertAlign val="subscript"/>
        <sz val="11"/>
        <rFont val="Avenir Next LT Pro"/>
        <family val="2"/>
      </rPr>
      <t>2</t>
    </r>
    <r>
      <rPr>
        <b/>
        <sz val="11"/>
        <rFont val="Avenir Next LT Pro"/>
        <family val="2"/>
      </rPr>
      <t>eq)</t>
    </r>
  </si>
  <si>
    <r>
      <t>INCERTIDUMBRE EMISIONES CO</t>
    </r>
    <r>
      <rPr>
        <b/>
        <vertAlign val="subscript"/>
        <sz val="10"/>
        <rFont val="Avenir Next LT Pro"/>
        <family val="2"/>
      </rPr>
      <t>2</t>
    </r>
    <r>
      <rPr>
        <b/>
        <sz val="10"/>
        <rFont val="Avenir Next LT Pro"/>
        <family val="2"/>
      </rPr>
      <t>eq</t>
    </r>
  </si>
  <si>
    <t xml:space="preserve">Columna Auxiliar </t>
  </si>
  <si>
    <r>
      <t>FACTOR DE EMISIÓN CH</t>
    </r>
    <r>
      <rPr>
        <b/>
        <vertAlign val="subscript"/>
        <sz val="11"/>
        <rFont val="Avenir Next LT Pro"/>
        <family val="2"/>
      </rPr>
      <t>4</t>
    </r>
  </si>
  <si>
    <r>
      <t>INCERTIDUMBRE FACTOR EMISIÓN CH</t>
    </r>
    <r>
      <rPr>
        <b/>
        <vertAlign val="subscript"/>
        <sz val="10"/>
        <rFont val="Avenir Next LT Pro"/>
        <family val="2"/>
      </rPr>
      <t>4</t>
    </r>
  </si>
  <si>
    <r>
      <t>EMISIONES CH</t>
    </r>
    <r>
      <rPr>
        <b/>
        <vertAlign val="subscript"/>
        <sz val="11"/>
        <rFont val="Avenir Next LT Pro"/>
        <family val="2"/>
      </rPr>
      <t>4</t>
    </r>
    <r>
      <rPr>
        <b/>
        <sz val="11"/>
        <rFont val="Avenir Next LT Pro"/>
        <family val="2"/>
      </rPr>
      <t xml:space="preserve"> (tCH</t>
    </r>
    <r>
      <rPr>
        <b/>
        <vertAlign val="subscript"/>
        <sz val="11"/>
        <rFont val="Avenir Next LT Pro"/>
        <family val="2"/>
      </rPr>
      <t>4</t>
    </r>
    <r>
      <rPr>
        <b/>
        <sz val="11"/>
        <rFont val="Avenir Next LT Pro"/>
        <family val="2"/>
      </rPr>
      <t>)</t>
    </r>
  </si>
  <si>
    <r>
      <t>EMISIONES CH</t>
    </r>
    <r>
      <rPr>
        <b/>
        <vertAlign val="subscript"/>
        <sz val="11"/>
        <rFont val="Avenir Next LT Pro"/>
        <family val="2"/>
      </rPr>
      <t>4</t>
    </r>
    <r>
      <rPr>
        <b/>
        <sz val="11"/>
        <rFont val="Avenir Next LT Pro"/>
        <family val="2"/>
      </rPr>
      <t xml:space="preserve"> (tCO</t>
    </r>
    <r>
      <rPr>
        <b/>
        <vertAlign val="subscript"/>
        <sz val="11"/>
        <rFont val="Avenir Next LT Pro"/>
        <family val="2"/>
      </rPr>
      <t>2</t>
    </r>
    <r>
      <rPr>
        <b/>
        <sz val="11"/>
        <rFont val="Avenir Next LT Pro"/>
        <family val="2"/>
      </rPr>
      <t>eq)</t>
    </r>
  </si>
  <si>
    <r>
      <t>INCERTIDUMBRE EMISIONES CH</t>
    </r>
    <r>
      <rPr>
        <b/>
        <vertAlign val="subscript"/>
        <sz val="10"/>
        <rFont val="Avenir Next LT Pro"/>
        <family val="2"/>
      </rPr>
      <t>4</t>
    </r>
  </si>
  <si>
    <r>
      <t>FACTOR DE EMISIÓN N</t>
    </r>
    <r>
      <rPr>
        <b/>
        <vertAlign val="subscript"/>
        <sz val="11"/>
        <rFont val="Avenir Next LT Pro"/>
        <family val="2"/>
      </rPr>
      <t>2</t>
    </r>
    <r>
      <rPr>
        <b/>
        <sz val="11"/>
        <rFont val="Avenir Next LT Pro"/>
        <family val="2"/>
      </rPr>
      <t>O</t>
    </r>
  </si>
  <si>
    <r>
      <t>INCERTIDUMBRE FACTOR EMISIÓN N</t>
    </r>
    <r>
      <rPr>
        <b/>
        <vertAlign val="subscript"/>
        <sz val="10"/>
        <rFont val="Avenir Next LT Pro"/>
        <family val="2"/>
      </rPr>
      <t>2</t>
    </r>
    <r>
      <rPr>
        <b/>
        <sz val="10"/>
        <rFont val="Avenir Next LT Pro"/>
        <family val="2"/>
      </rPr>
      <t>O</t>
    </r>
  </si>
  <si>
    <r>
      <t>EMISIONES N</t>
    </r>
    <r>
      <rPr>
        <b/>
        <vertAlign val="subscript"/>
        <sz val="11"/>
        <rFont val="Avenir Next LT Pro"/>
        <family val="2"/>
      </rPr>
      <t>2</t>
    </r>
    <r>
      <rPr>
        <b/>
        <sz val="11"/>
        <rFont val="Avenir Next LT Pro"/>
        <family val="2"/>
      </rPr>
      <t>O (tN</t>
    </r>
    <r>
      <rPr>
        <b/>
        <vertAlign val="subscript"/>
        <sz val="11"/>
        <rFont val="Avenir Next LT Pro"/>
        <family val="2"/>
      </rPr>
      <t>2</t>
    </r>
    <r>
      <rPr>
        <b/>
        <sz val="11"/>
        <rFont val="Avenir Next LT Pro"/>
        <family val="2"/>
      </rPr>
      <t>O)</t>
    </r>
  </si>
  <si>
    <r>
      <t>EMISIONES N</t>
    </r>
    <r>
      <rPr>
        <b/>
        <vertAlign val="subscript"/>
        <sz val="11"/>
        <rFont val="Avenir Next LT Pro"/>
        <family val="2"/>
      </rPr>
      <t>2</t>
    </r>
    <r>
      <rPr>
        <b/>
        <sz val="11"/>
        <rFont val="Avenir Next LT Pro"/>
        <family val="2"/>
      </rPr>
      <t>O (tCO</t>
    </r>
    <r>
      <rPr>
        <b/>
        <vertAlign val="subscript"/>
        <sz val="11"/>
        <rFont val="Avenir Next LT Pro"/>
        <family val="2"/>
      </rPr>
      <t>2</t>
    </r>
    <r>
      <rPr>
        <b/>
        <sz val="11"/>
        <rFont val="Avenir Next LT Pro"/>
        <family val="2"/>
      </rPr>
      <t>eq)</t>
    </r>
  </si>
  <si>
    <r>
      <t>INCERTIDUMBRE EMISIONES N</t>
    </r>
    <r>
      <rPr>
        <b/>
        <vertAlign val="subscript"/>
        <sz val="10"/>
        <rFont val="Avenir Next LT Pro"/>
        <family val="2"/>
      </rPr>
      <t>2</t>
    </r>
    <r>
      <rPr>
        <b/>
        <sz val="10"/>
        <rFont val="Avenir Next LT Pro"/>
        <family val="2"/>
      </rPr>
      <t>O</t>
    </r>
  </si>
  <si>
    <t>FACTOR DE EMISIÓN 
HFC</t>
  </si>
  <si>
    <t>INCERTIDUMBRE FACTOR EMISIÓN HFC</t>
  </si>
  <si>
    <r>
      <t>EMISIONES HFC (tCO</t>
    </r>
    <r>
      <rPr>
        <b/>
        <vertAlign val="subscript"/>
        <sz val="11"/>
        <rFont val="Avenir Next LT Pro"/>
        <family val="2"/>
      </rPr>
      <t>2</t>
    </r>
    <r>
      <rPr>
        <b/>
        <sz val="11"/>
        <rFont val="Avenir Next LT Pro"/>
        <family val="2"/>
      </rPr>
      <t>eq)</t>
    </r>
  </si>
  <si>
    <t>INCERTIDUMBRE EMISIONES HFC</t>
  </si>
  <si>
    <t>FACTOR DE EMISIÓN 
PFC</t>
  </si>
  <si>
    <t>INCERTIDUMBRE FACTOR EMISIÓN PFC</t>
  </si>
  <si>
    <r>
      <t>EMISIONES PFC (tCO</t>
    </r>
    <r>
      <rPr>
        <b/>
        <vertAlign val="subscript"/>
        <sz val="11"/>
        <rFont val="Avenir Next LT Pro"/>
        <family val="2"/>
      </rPr>
      <t>2</t>
    </r>
    <r>
      <rPr>
        <b/>
        <sz val="11"/>
        <rFont val="Avenir Next LT Pro"/>
        <family val="2"/>
      </rPr>
      <t>eq)</t>
    </r>
  </si>
  <si>
    <t>INCERTIDUMBRE EMISIONES PFC</t>
  </si>
  <si>
    <r>
      <t>FACTOR DE EMISIÓN SF</t>
    </r>
    <r>
      <rPr>
        <b/>
        <vertAlign val="subscript"/>
        <sz val="11"/>
        <rFont val="Avenir Next LT Pro"/>
        <family val="2"/>
      </rPr>
      <t>6</t>
    </r>
  </si>
  <si>
    <r>
      <t>INCERTIDUMBRE FACTOR EMISIÓN SF</t>
    </r>
    <r>
      <rPr>
        <b/>
        <vertAlign val="subscript"/>
        <sz val="10"/>
        <rFont val="Avenir Next LT Pro"/>
        <family val="2"/>
      </rPr>
      <t>6</t>
    </r>
  </si>
  <si>
    <r>
      <t>EMISIONES SF</t>
    </r>
    <r>
      <rPr>
        <b/>
        <vertAlign val="subscript"/>
        <sz val="11"/>
        <rFont val="Avenir Next LT Pro"/>
        <family val="2"/>
      </rPr>
      <t>6</t>
    </r>
    <r>
      <rPr>
        <b/>
        <sz val="11"/>
        <rFont val="Avenir Next LT Pro"/>
        <family val="2"/>
      </rPr>
      <t xml:space="preserve"> (t SF</t>
    </r>
    <r>
      <rPr>
        <b/>
        <vertAlign val="subscript"/>
        <sz val="11"/>
        <rFont val="Avenir Next LT Pro"/>
        <family val="2"/>
      </rPr>
      <t>6</t>
    </r>
    <r>
      <rPr>
        <b/>
        <sz val="11"/>
        <rFont val="Avenir Next LT Pro"/>
        <family val="2"/>
      </rPr>
      <t>)</t>
    </r>
  </si>
  <si>
    <r>
      <t>EMISIONES SF</t>
    </r>
    <r>
      <rPr>
        <b/>
        <vertAlign val="subscript"/>
        <sz val="11"/>
        <rFont val="Avenir Next LT Pro"/>
        <family val="2"/>
      </rPr>
      <t>6</t>
    </r>
    <r>
      <rPr>
        <b/>
        <sz val="11"/>
        <rFont val="Avenir Next LT Pro"/>
        <family val="2"/>
      </rPr>
      <t xml:space="preserve"> (t CO</t>
    </r>
    <r>
      <rPr>
        <b/>
        <vertAlign val="subscript"/>
        <sz val="11"/>
        <rFont val="Avenir Next LT Pro"/>
        <family val="2"/>
      </rPr>
      <t xml:space="preserve">2 </t>
    </r>
    <r>
      <rPr>
        <b/>
        <sz val="11"/>
        <rFont val="Avenir Next LT Pro"/>
        <family val="2"/>
      </rPr>
      <t>eq)</t>
    </r>
  </si>
  <si>
    <r>
      <t>INCERTIDUMBRE EMISIONES SF</t>
    </r>
    <r>
      <rPr>
        <b/>
        <vertAlign val="subscript"/>
        <sz val="10"/>
        <rFont val="Avenir Next LT Pro"/>
        <family val="2"/>
      </rPr>
      <t>6</t>
    </r>
  </si>
  <si>
    <r>
      <t>FACTOR DE EMISIÓN CO</t>
    </r>
    <r>
      <rPr>
        <b/>
        <vertAlign val="subscript"/>
        <sz val="11"/>
        <rFont val="Avenir Next LT Pro"/>
        <family val="2"/>
      </rPr>
      <t>2 (biogénico)</t>
    </r>
  </si>
  <si>
    <r>
      <t>INCERTIDUMBRE FACTOR EMISIÓN CO</t>
    </r>
    <r>
      <rPr>
        <b/>
        <vertAlign val="subscript"/>
        <sz val="10"/>
        <rFont val="Avenir Next LT Pro"/>
        <family val="2"/>
      </rPr>
      <t>2 
(Biogénico)</t>
    </r>
  </si>
  <si>
    <r>
      <t>EMISIONES CO</t>
    </r>
    <r>
      <rPr>
        <b/>
        <vertAlign val="subscript"/>
        <sz val="11"/>
        <rFont val="Avenir Next LT Pro"/>
        <family val="2"/>
      </rPr>
      <t>2Biogénico</t>
    </r>
    <r>
      <rPr>
        <b/>
        <sz val="11"/>
        <rFont val="Avenir Next LT Pro"/>
        <family val="2"/>
      </rPr>
      <t xml:space="preserve"> 
(t CO</t>
    </r>
    <r>
      <rPr>
        <b/>
        <vertAlign val="subscript"/>
        <sz val="11"/>
        <rFont val="Avenir Next LT Pro"/>
        <family val="2"/>
      </rPr>
      <t>2 Biogénico</t>
    </r>
    <r>
      <rPr>
        <b/>
        <sz val="11"/>
        <rFont val="Avenir Next LT Pro"/>
        <family val="2"/>
      </rPr>
      <t>)</t>
    </r>
  </si>
  <si>
    <r>
      <t>INCERTIDUMBRE EMISIONES CO</t>
    </r>
    <r>
      <rPr>
        <b/>
        <vertAlign val="subscript"/>
        <sz val="10"/>
        <rFont val="Avenir Next LT Pro"/>
        <family val="2"/>
      </rPr>
      <t>2 Biogénico</t>
    </r>
  </si>
  <si>
    <t xml:space="preserve">Variable Auxiliar = (Huella de carbono x Incertidumbre de la fuente)^2 </t>
  </si>
  <si>
    <t>Consumo de combustibles líquidos</t>
  </si>
  <si>
    <t>DatosActividad</t>
  </si>
  <si>
    <t>(Fuentes Móviles)</t>
  </si>
  <si>
    <t>Consumo de combustibles gaseosos</t>
  </si>
  <si>
    <t>SUBTOTAL COMBUSTIBLES</t>
  </si>
  <si>
    <t>Extintores (Fuentes Móviles)</t>
  </si>
  <si>
    <t>SUBTOTAL OTROS</t>
  </si>
  <si>
    <t>SUBTOTAL FUENTES MÓVILES</t>
  </si>
  <si>
    <t>FUENTES FIJAS</t>
  </si>
  <si>
    <t>EMISIONES HFC (tCO2eq)</t>
  </si>
  <si>
    <t>EMISIONES PFC (tCO2eq)</t>
  </si>
  <si>
    <r>
      <t>EMISIONES SF</t>
    </r>
    <r>
      <rPr>
        <b/>
        <vertAlign val="subscript"/>
        <sz val="11"/>
        <rFont val="Avenir Next LT Pro"/>
        <family val="2"/>
      </rPr>
      <t>6</t>
    </r>
    <r>
      <rPr>
        <b/>
        <sz val="11"/>
        <rFont val="Avenir Next LT Pro"/>
        <family val="2"/>
      </rPr>
      <t xml:space="preserve"> (tSF</t>
    </r>
    <r>
      <rPr>
        <b/>
        <vertAlign val="subscript"/>
        <sz val="11"/>
        <rFont val="Avenir Next LT Pro"/>
        <family val="2"/>
      </rPr>
      <t>6</t>
    </r>
    <r>
      <rPr>
        <b/>
        <sz val="11"/>
        <rFont val="Avenir Next LT Pro"/>
        <family val="2"/>
      </rPr>
      <t>)</t>
    </r>
  </si>
  <si>
    <r>
      <t>EMISIONES SF</t>
    </r>
    <r>
      <rPr>
        <b/>
        <vertAlign val="subscript"/>
        <sz val="11"/>
        <rFont val="Avenir Next LT Pro"/>
        <family val="2"/>
      </rPr>
      <t>6</t>
    </r>
    <r>
      <rPr>
        <b/>
        <sz val="11"/>
        <rFont val="Avenir Next LT Pro"/>
        <family val="2"/>
      </rPr>
      <t xml:space="preserve"> (tCO</t>
    </r>
    <r>
      <rPr>
        <b/>
        <vertAlign val="subscript"/>
        <sz val="11"/>
        <rFont val="Avenir Next LT Pro"/>
        <family val="2"/>
      </rPr>
      <t>2</t>
    </r>
    <r>
      <rPr>
        <b/>
        <sz val="11"/>
        <rFont val="Avenir Next LT Pro"/>
        <family val="2"/>
      </rPr>
      <t>eq)</t>
    </r>
  </si>
  <si>
    <r>
      <t>EMISIONES CO</t>
    </r>
    <r>
      <rPr>
        <b/>
        <vertAlign val="subscript"/>
        <sz val="11"/>
        <rFont val="Avenir Next LT Pro"/>
        <family val="2"/>
      </rPr>
      <t>2Biogénico</t>
    </r>
    <r>
      <rPr>
        <b/>
        <sz val="11"/>
        <rFont val="Avenir Next LT Pro"/>
        <family val="2"/>
      </rPr>
      <t xml:space="preserve"> 
(tCO</t>
    </r>
    <r>
      <rPr>
        <b/>
        <vertAlign val="subscript"/>
        <sz val="11"/>
        <rFont val="Avenir Next LT Pro"/>
        <family val="2"/>
      </rPr>
      <t>2 Biogénico</t>
    </r>
    <r>
      <rPr>
        <b/>
        <sz val="11"/>
        <rFont val="Avenir Next LT Pro"/>
        <family val="2"/>
      </rPr>
      <t>)</t>
    </r>
  </si>
  <si>
    <t>Consumo de combustibles sólidos</t>
  </si>
  <si>
    <t xml:space="preserve"> (Fuentes Fijas)</t>
  </si>
  <si>
    <t>Extintores (Fuentes Fijas)</t>
  </si>
  <si>
    <t>SUBTOTAL FUENTES FIJAS</t>
  </si>
  <si>
    <t xml:space="preserve">FUENTES FUGITIVAS </t>
  </si>
  <si>
    <r>
      <t>HUELLA DE CARBONO
(tCO</t>
    </r>
    <r>
      <rPr>
        <b/>
        <vertAlign val="subscript"/>
        <sz val="11"/>
        <rFont val="Avenir Next LT Pro"/>
        <family val="2"/>
      </rPr>
      <t>2</t>
    </r>
    <r>
      <rPr>
        <b/>
        <sz val="11"/>
        <rFont val="Avenir Next LT Pro"/>
        <family val="2"/>
      </rPr>
      <t>eq)</t>
    </r>
  </si>
  <si>
    <t>INCERTIDUMBRE FACTOR EMISIÓN PFCs</t>
  </si>
  <si>
    <t>Perdidas de HFC</t>
  </si>
  <si>
    <t xml:space="preserve">(Refrigerantes en Instalaciones, </t>
  </si>
  <si>
    <t>edificios y procesos)</t>
  </si>
  <si>
    <t>Perdidas de PFC</t>
  </si>
  <si>
    <t>(Instalaciones, procesos)</t>
  </si>
  <si>
    <t xml:space="preserve">SUBTOTAL EMISIONES FUGITIVAS INSTALACIONES Y EDIFICIOS </t>
  </si>
  <si>
    <t xml:space="preserve">Perdidas de refrigerantes </t>
  </si>
  <si>
    <t>SUBTOTAL EMISIONES FUGITIVAS FUENTES MOVILES</t>
  </si>
  <si>
    <t>Manejo de embalses</t>
  </si>
  <si>
    <r>
      <t>Pérdidas de CO</t>
    </r>
    <r>
      <rPr>
        <vertAlign val="subscript"/>
        <sz val="11"/>
        <rFont val="Avenir Next LT Pro"/>
        <family val="2"/>
      </rPr>
      <t>2</t>
    </r>
    <r>
      <rPr>
        <sz val="11"/>
        <rFont val="Avenir Next LT Pro"/>
        <family val="2"/>
      </rPr>
      <t xml:space="preserve"> en proceso</t>
    </r>
  </si>
  <si>
    <t>Consumo de aislante eléctrico</t>
  </si>
  <si>
    <t>Tratamiento y Descarga de Aguas Residuales</t>
  </si>
  <si>
    <t>Desechos Sólidos</t>
  </si>
  <si>
    <t xml:space="preserve">SUBTOTAL OTRAS EMISIONES FUGITIVAS </t>
  </si>
  <si>
    <t xml:space="preserve">SUBTOTAL FUENTES FUGITIVAS </t>
  </si>
  <si>
    <t>USO DE LA TIERRA Y CAMBIOS DEL USO DE LA TIERRA Y SILVICULTURA (UTCUTS)</t>
  </si>
  <si>
    <t xml:space="preserve">FUENTE DE EMISIÓN DE GEI
</t>
  </si>
  <si>
    <t>Categoría de uso inicial de tierras
(seleccione la opción)</t>
  </si>
  <si>
    <t>Tipo de vegetación impactada                                (seleccione la opción)</t>
  </si>
  <si>
    <t>Región climática                                                                  (seleccione la opción)</t>
  </si>
  <si>
    <t xml:space="preserve">VALORES DE LOS DATOS DE ACTIVIDAD </t>
  </si>
  <si>
    <t>FACTORES DE EMISIÓN</t>
  </si>
  <si>
    <t>BIOMASA</t>
  </si>
  <si>
    <t>CARBONO</t>
  </si>
  <si>
    <t>Área impactada (dato de actividad)</t>
  </si>
  <si>
    <t>Unidad</t>
  </si>
  <si>
    <t>NA</t>
  </si>
  <si>
    <t>Biomasa aérea para tierras forestales y árboles aislados 
(dato generado por el proyecto)</t>
  </si>
  <si>
    <t>Biomasa aérea distintas a tierras forestales 
(dato por defecto)</t>
  </si>
  <si>
    <t>Biomasa aérea final (dato por defecto/generado)</t>
  </si>
  <si>
    <t>Relación entre la biomasa subterránea y la aérea</t>
  </si>
  <si>
    <t>Biomasa de la hojarasca y la madera muerta (MOM)</t>
  </si>
  <si>
    <t>Fracción de carbono de la materia seca</t>
  </si>
  <si>
    <t>Biomasa subterránea
(ton dm ha-1)</t>
  </si>
  <si>
    <t>Biomasa aérea y subterránea
(ton dm)</t>
  </si>
  <si>
    <t>Biomasa                (aérea, subterránea y MOM)
(ton dm)</t>
  </si>
  <si>
    <t>Total de carbono de la biomasa total (ton C)</t>
  </si>
  <si>
    <r>
      <t>EMISIONES  (tCO</t>
    </r>
    <r>
      <rPr>
        <b/>
        <vertAlign val="subscript"/>
        <sz val="11"/>
        <rFont val="Avenir Next LT Pro"/>
        <family val="2"/>
      </rPr>
      <t>2</t>
    </r>
    <r>
      <rPr>
        <b/>
        <sz val="11"/>
        <rFont val="Avenir Next LT Pro"/>
        <family val="2"/>
      </rPr>
      <t>eq)</t>
    </r>
  </si>
  <si>
    <t>Emisiones provenientes de la biomasa por el impacto del proyecto</t>
  </si>
  <si>
    <t>ha</t>
  </si>
  <si>
    <r>
      <t>(ton dm ha</t>
    </r>
    <r>
      <rPr>
        <vertAlign val="superscript"/>
        <sz val="11"/>
        <color theme="1"/>
        <rFont val="Avenir Next LT Pro"/>
        <family val="2"/>
      </rPr>
      <t>-1</t>
    </r>
    <r>
      <rPr>
        <sz val="11"/>
        <color theme="1"/>
        <rFont val="Avenir Next LT Pro"/>
        <family val="2"/>
      </rPr>
      <t>)</t>
    </r>
  </si>
  <si>
    <t>(ton dm ha-1)</t>
  </si>
  <si>
    <t>Tierras_Forestales</t>
  </si>
  <si>
    <t>Pastizales</t>
  </si>
  <si>
    <t>Otras</t>
  </si>
  <si>
    <t>Árboles dispersos (fuera del bosque)</t>
  </si>
  <si>
    <t>Emisiones provenientes de los suelos por el impacto del proyecto</t>
  </si>
  <si>
    <t>Región climática                                                                    (seleccione la opción)</t>
  </si>
  <si>
    <t>Existencia de carbono de referencia</t>
  </si>
  <si>
    <t>Factor de cambio de existencias para el sistema de uso de la tierra antes de la fase de construcción del proyecto</t>
  </si>
  <si>
    <t>Factor de cambio de existencias para el régimen de gestión antes de la fase de construccion del proyecto</t>
  </si>
  <si>
    <t>Factor de cambio de existencias para el aporte de materia orgánica  antes de la fase de construcción del proyecto</t>
  </si>
  <si>
    <t>Factor de cambio de existencias para el sistema de uso de la tierra FLU (0), el régimen de gestión FMG (0) y aporte de materia orgánica FI (0), al final de la fase de construcción del proyecto</t>
  </si>
  <si>
    <t>Pérdida de carbono en suelos minerales</t>
  </si>
  <si>
    <t>HUELLA DE CARBONO
(tCO2eq)</t>
  </si>
  <si>
    <t>(ton C ha-1)</t>
  </si>
  <si>
    <t>SUBTOTAL EMISIONES DE UTCUTS</t>
  </si>
  <si>
    <t>TOTAL ALCANCE 1</t>
  </si>
  <si>
    <t>ALCANCE 2</t>
  </si>
  <si>
    <t>INCERTIDUMBRE FACTOR EMISIÓN HFCs</t>
  </si>
  <si>
    <t>Consumo de energía adquirida</t>
  </si>
  <si>
    <t>Consumo de energía eléctrica</t>
  </si>
  <si>
    <t>TOTAL HUELLA DE CARBONO</t>
  </si>
  <si>
    <t>Solamente se pueden reportar emisiones de GEI en esta categoría. Cambie su selección anterior.</t>
  </si>
  <si>
    <t>EmisionesGEI</t>
  </si>
  <si>
    <t>Seleccionar la categoría de tierra</t>
  </si>
  <si>
    <t>Seleccione el tipo de bosque o vegetación</t>
  </si>
  <si>
    <t>Seleccione el tipo de clima</t>
  </si>
  <si>
    <t>Seleccionar el uso de la tierra, previo al cambio</t>
  </si>
  <si>
    <t>Bosque Maduro</t>
  </si>
  <si>
    <t>TM</t>
  </si>
  <si>
    <t>Bosque maduro</t>
  </si>
  <si>
    <t>Tierras_de_Cultivo</t>
  </si>
  <si>
    <t>Bosque Secundario</t>
  </si>
  <si>
    <t>TMH</t>
  </si>
  <si>
    <t>Bosque secundario</t>
  </si>
  <si>
    <t>Factor Emisión CO2eq (kg CO2eq/t)</t>
  </si>
  <si>
    <t>Incertidumbre (+/- %)</t>
  </si>
  <si>
    <t>Fuente Bibliográfica</t>
  </si>
  <si>
    <t>Fuentes Fijas</t>
  </si>
  <si>
    <t>Fuentes Móviles</t>
  </si>
  <si>
    <t>Biogénicas</t>
  </si>
  <si>
    <t>Incertidumbre Juicio expertos IPCC</t>
  </si>
  <si>
    <t>Parámetro</t>
  </si>
  <si>
    <t>Tipo de vegetación</t>
  </si>
  <si>
    <t>Región Climática</t>
  </si>
  <si>
    <t>Manglar</t>
  </si>
  <si>
    <t>TH</t>
  </si>
  <si>
    <t>Combustible_Sólido</t>
  </si>
  <si>
    <t>Unidad Consumo</t>
  </si>
  <si>
    <t>Unidad FE</t>
  </si>
  <si>
    <t>Factor Emisión CH4 (g CH4/t)</t>
  </si>
  <si>
    <t>Factor Emisión CH4 (kg CH4/t)</t>
  </si>
  <si>
    <t>Factor Emisión N2O (g N2O/t)</t>
  </si>
  <si>
    <t>Factor Emisión N2O (kg N2O/t)</t>
  </si>
  <si>
    <t>Factor Emisión CO2 (kg CO2/lt)</t>
  </si>
  <si>
    <t xml:space="preserve">% Rango menor </t>
  </si>
  <si>
    <t>% Rango mayor</t>
  </si>
  <si>
    <t>Tierras Forestales</t>
  </si>
  <si>
    <t>Fuente</t>
  </si>
  <si>
    <t>Plantaciones de Latifoliadas</t>
  </si>
  <si>
    <t>Plantación de latifoliadas</t>
  </si>
  <si>
    <t>Carbón Genérico</t>
  </si>
  <si>
    <t xml:space="preserve">t </t>
  </si>
  <si>
    <t>kg CO2/t</t>
  </si>
  <si>
    <t>IPCC, 2006</t>
  </si>
  <si>
    <r>
      <rPr>
        <sz val="10"/>
        <rFont val="Trebuchet MS"/>
        <family val="2"/>
      </rPr>
      <t>kg CH</t>
    </r>
    <r>
      <rPr>
        <vertAlign val="subscript"/>
        <sz val="10"/>
        <rFont val="Trebuchet MS"/>
        <family val="2"/>
      </rPr>
      <t>4</t>
    </r>
    <r>
      <rPr>
        <sz val="10"/>
        <rFont val="Trebuchet MS"/>
        <family val="2"/>
      </rPr>
      <t>/t</t>
    </r>
  </si>
  <si>
    <r>
      <rPr>
        <sz val="10"/>
        <rFont val="Trebuchet MS"/>
        <family val="2"/>
      </rPr>
      <t>kg N</t>
    </r>
    <r>
      <rPr>
        <vertAlign val="subscript"/>
        <sz val="10"/>
        <rFont val="Trebuchet MS"/>
        <family val="2"/>
      </rPr>
      <t>2</t>
    </r>
    <r>
      <rPr>
        <sz val="10"/>
        <rFont val="Trebuchet MS"/>
        <family val="2"/>
      </rPr>
      <t>O/t</t>
    </r>
  </si>
  <si>
    <t>FC</t>
  </si>
  <si>
    <t>Vol. 4, Cap 4, Pag. 4.57, Cuadro 4.3</t>
  </si>
  <si>
    <t>Plantaciones de Coníferas</t>
  </si>
  <si>
    <t>Plantación de coníferas</t>
  </si>
  <si>
    <t>Coque</t>
  </si>
  <si>
    <t>t</t>
  </si>
  <si>
    <t>Bosque Secudario</t>
  </si>
  <si>
    <t>Rastrojos</t>
  </si>
  <si>
    <t>Rastrojo</t>
  </si>
  <si>
    <t>Coque de petróleo</t>
  </si>
  <si>
    <t>Cap. 4, Pag. 4.13, Cuadro 4.2</t>
  </si>
  <si>
    <t>Árboles</t>
  </si>
  <si>
    <t>Cultivo anual mecanizado (laboreo total)</t>
  </si>
  <si>
    <t>Madera / Desechos de madera</t>
  </si>
  <si>
    <t>Plantaciones, Latifoliadas</t>
  </si>
  <si>
    <t>Vol.4, Cap. 4, Pag. 4.57, Cuadro 4.3</t>
  </si>
  <si>
    <t>Cultivo anual (biomasa no leñosa)</t>
  </si>
  <si>
    <t>Cultivo anual no mecanizado (sin laboreo)</t>
  </si>
  <si>
    <t>Otra biomasa solida primaria</t>
  </si>
  <si>
    <t>Plantaciones, Coniferas</t>
  </si>
  <si>
    <t>Cultivo perenne (biomasa leñosa)</t>
  </si>
  <si>
    <t>Cutivo perenne (permanente)</t>
  </si>
  <si>
    <t>Carbón Vegetal</t>
  </si>
  <si>
    <t>Pasto mejorado y pasto no degradado</t>
  </si>
  <si>
    <t>Pasto moderadamente degradado</t>
  </si>
  <si>
    <t>FACTORES DE EMISIÓN (SUELOS)</t>
  </si>
  <si>
    <t>R</t>
  </si>
  <si>
    <t xml:space="preserve">Refinamiento IPCC- 2019. Cuadro 4.4. </t>
  </si>
  <si>
    <t>Biomasa aérea/biomasa</t>
  </si>
  <si>
    <t>Fracción de carbono de la materia seca.</t>
  </si>
  <si>
    <t>Pasto severamente degradado</t>
  </si>
  <si>
    <t>Uso de la tierra, previo a la fase de construcción del proyecto</t>
  </si>
  <si>
    <t>Región climática</t>
  </si>
  <si>
    <t>Área de impacto directo del proyecto</t>
  </si>
  <si>
    <t>Existencias de carbono de referencia</t>
  </si>
  <si>
    <r>
      <t>Factor de cambio de existencias para el sistema de uso de la tierra F</t>
    </r>
    <r>
      <rPr>
        <b/>
        <vertAlign val="subscript"/>
        <sz val="12"/>
        <rFont val="Calibri"/>
        <family val="2"/>
        <scheme val="minor"/>
      </rPr>
      <t>LU</t>
    </r>
    <r>
      <rPr>
        <b/>
        <sz val="12"/>
        <rFont val="Calibri"/>
        <family val="2"/>
        <scheme val="minor"/>
      </rPr>
      <t xml:space="preserve"> (0), el régimen de gestión F</t>
    </r>
    <r>
      <rPr>
        <b/>
        <vertAlign val="subscript"/>
        <sz val="12"/>
        <rFont val="Calibri"/>
        <family val="2"/>
        <scheme val="minor"/>
      </rPr>
      <t>MG</t>
    </r>
    <r>
      <rPr>
        <b/>
        <sz val="12"/>
        <rFont val="Calibri"/>
        <family val="2"/>
        <scheme val="minor"/>
      </rPr>
      <t xml:space="preserve"> (0) y aporte de materia orgánica F</t>
    </r>
    <r>
      <rPr>
        <b/>
        <vertAlign val="subscript"/>
        <sz val="12"/>
        <rFont val="Calibri"/>
        <family val="2"/>
        <scheme val="minor"/>
      </rPr>
      <t>I</t>
    </r>
    <r>
      <rPr>
        <b/>
        <sz val="12"/>
        <rFont val="Calibri"/>
        <family val="2"/>
        <scheme val="minor"/>
      </rPr>
      <t xml:space="preserve"> (0), al final de la fase de construcción del proyecto</t>
    </r>
  </si>
  <si>
    <r>
      <t>Emisiones de CO</t>
    </r>
    <r>
      <rPr>
        <b/>
        <vertAlign val="subscript"/>
        <sz val="12"/>
        <rFont val="Calibri"/>
        <family val="2"/>
        <scheme val="minor"/>
      </rPr>
      <t>2</t>
    </r>
    <r>
      <rPr>
        <b/>
        <sz val="12"/>
        <rFont val="Calibri"/>
        <family val="2"/>
        <scheme val="minor"/>
      </rPr>
      <t xml:space="preserve"> de los suelos minerales</t>
    </r>
  </si>
  <si>
    <t>Combustible</t>
  </si>
  <si>
    <t>Factor Emisión CO2eq (kg CO2eq/lt)</t>
  </si>
  <si>
    <t xml:space="preserve">Bosque Secundario </t>
  </si>
  <si>
    <t>Bosque MaduroTM</t>
  </si>
  <si>
    <t>Otras tierras</t>
  </si>
  <si>
    <t>Factor Emisión CH4 (g CH4/lt)</t>
  </si>
  <si>
    <t>Factor Emisión CH4 (kg CH4/lt)</t>
  </si>
  <si>
    <t>Factor Emisión N2O (g N2O/lt)</t>
  </si>
  <si>
    <t>Factor Emisión N2O (kg N2O/lt)</t>
  </si>
  <si>
    <t>Wetland supplement 2013</t>
  </si>
  <si>
    <t>Bosque MaduroTMH</t>
  </si>
  <si>
    <t>Diésel Oil</t>
  </si>
  <si>
    <t>lt</t>
  </si>
  <si>
    <r>
      <rPr>
        <sz val="10"/>
        <rFont val="Trebuchet MS"/>
        <family val="2"/>
      </rPr>
      <t>kg CO</t>
    </r>
    <r>
      <rPr>
        <vertAlign val="subscript"/>
        <sz val="10"/>
        <rFont val="Trebuchet MS"/>
        <family val="2"/>
      </rPr>
      <t>2</t>
    </r>
    <r>
      <rPr>
        <sz val="10"/>
        <rFont val="Trebuchet MS"/>
        <family val="2"/>
      </rPr>
      <t>/lt</t>
    </r>
  </si>
  <si>
    <r>
      <rPr>
        <sz val="10"/>
        <rFont val="Trebuchet MS"/>
        <family val="2"/>
      </rPr>
      <t>kg CH</t>
    </r>
    <r>
      <rPr>
        <vertAlign val="subscript"/>
        <sz val="10"/>
        <rFont val="Trebuchet MS"/>
        <family val="2"/>
      </rPr>
      <t>4</t>
    </r>
    <r>
      <rPr>
        <sz val="10"/>
        <rFont val="Trebuchet MS"/>
        <family val="2"/>
      </rPr>
      <t>/lt</t>
    </r>
  </si>
  <si>
    <r>
      <rPr>
        <sz val="10"/>
        <rFont val="Trebuchet MS"/>
        <family val="2"/>
      </rPr>
      <t>kg N</t>
    </r>
    <r>
      <rPr>
        <vertAlign val="subscript"/>
        <sz val="10"/>
        <rFont val="Trebuchet MS"/>
        <family val="2"/>
      </rPr>
      <t>2</t>
    </r>
    <r>
      <rPr>
        <sz val="10"/>
        <rFont val="Trebuchet MS"/>
        <family val="2"/>
      </rPr>
      <t>O/lt</t>
    </r>
  </si>
  <si>
    <t>Refinamiento 2019, cuadro 4.4 . IPCC</t>
  </si>
  <si>
    <t>Bosque MaduroTH</t>
  </si>
  <si>
    <t>(ha)</t>
  </si>
  <si>
    <r>
      <t>(ton C ha</t>
    </r>
    <r>
      <rPr>
        <b/>
        <vertAlign val="superscript"/>
        <sz val="12"/>
        <rFont val="Calibri"/>
        <family val="2"/>
        <scheme val="minor"/>
      </rPr>
      <t>-1</t>
    </r>
    <r>
      <rPr>
        <b/>
        <sz val="12"/>
        <rFont val="Calibri"/>
        <family val="2"/>
        <scheme val="minor"/>
      </rPr>
      <t>)</t>
    </r>
  </si>
  <si>
    <t>(-)</t>
  </si>
  <si>
    <t>(ton C)</t>
  </si>
  <si>
    <r>
      <t>(ton CO</t>
    </r>
    <r>
      <rPr>
        <b/>
        <vertAlign val="subscript"/>
        <sz val="12"/>
        <rFont val="Calibri"/>
        <family val="2"/>
        <scheme val="minor"/>
      </rPr>
      <t>2</t>
    </r>
    <r>
      <rPr>
        <b/>
        <sz val="12"/>
        <rFont val="Calibri"/>
        <family val="2"/>
        <scheme val="minor"/>
      </rPr>
      <t>)</t>
    </r>
  </si>
  <si>
    <t xml:space="preserve">Gasolina </t>
  </si>
  <si>
    <t>Plantaciones de Coniferas</t>
  </si>
  <si>
    <t>Bosque SecundarioTM</t>
  </si>
  <si>
    <t>Queroseno</t>
  </si>
  <si>
    <t>Vol. 4, Cap. 4, Pag. 4.58, Cuadro 4.4</t>
  </si>
  <si>
    <t>Bosque SecundarioTMH</t>
  </si>
  <si>
    <t>Tabla 2.3; Cap. 2, Sec. 2.3.3.1</t>
  </si>
  <si>
    <t>Vol. 4, Cap. 4, 5 y 6 Directrices IPCC 2006</t>
  </si>
  <si>
    <t>Sección 8.3.3.2. Vol. 4, Cap. 8, Directrices IPCC 2006</t>
  </si>
  <si>
    <t>Fuelóleo Residual</t>
  </si>
  <si>
    <t>Se recomiendan los valores del refinamiento para bosque secundario del IPCC-2019</t>
  </si>
  <si>
    <t>Bosque SecundarioTH</t>
  </si>
  <si>
    <r>
      <t>A</t>
    </r>
    <r>
      <rPr>
        <b/>
        <vertAlign val="subscript"/>
        <sz val="12"/>
        <rFont val="Calibri"/>
        <family val="2"/>
        <scheme val="minor"/>
      </rPr>
      <t>(0)</t>
    </r>
  </si>
  <si>
    <r>
      <t>SOC</t>
    </r>
    <r>
      <rPr>
        <b/>
        <vertAlign val="subscript"/>
        <sz val="12"/>
        <rFont val="Calibri"/>
        <family val="2"/>
        <scheme val="minor"/>
      </rPr>
      <t>ref</t>
    </r>
  </si>
  <si>
    <r>
      <t>F</t>
    </r>
    <r>
      <rPr>
        <b/>
        <vertAlign val="subscript"/>
        <sz val="12"/>
        <rFont val="Calibri"/>
        <family val="2"/>
        <scheme val="minor"/>
      </rPr>
      <t>LU (0-T)</t>
    </r>
  </si>
  <si>
    <r>
      <t>F</t>
    </r>
    <r>
      <rPr>
        <b/>
        <vertAlign val="subscript"/>
        <sz val="12"/>
        <rFont val="Calibri"/>
        <family val="2"/>
        <scheme val="minor"/>
      </rPr>
      <t>MG (0-T)</t>
    </r>
  </si>
  <si>
    <r>
      <t>F</t>
    </r>
    <r>
      <rPr>
        <b/>
        <vertAlign val="subscript"/>
        <sz val="12"/>
        <rFont val="Calibri"/>
        <family val="2"/>
        <scheme val="minor"/>
      </rPr>
      <t>I (0-T)</t>
    </r>
  </si>
  <si>
    <r>
      <t>F</t>
    </r>
    <r>
      <rPr>
        <b/>
        <vertAlign val="subscript"/>
        <sz val="12"/>
        <rFont val="Calibri"/>
        <family val="2"/>
        <scheme val="minor"/>
      </rPr>
      <t xml:space="preserve">LU (0), </t>
    </r>
    <r>
      <rPr>
        <b/>
        <sz val="12"/>
        <rFont val="Calibri"/>
        <family val="2"/>
        <scheme val="minor"/>
      </rPr>
      <t>F</t>
    </r>
    <r>
      <rPr>
        <b/>
        <vertAlign val="subscript"/>
        <sz val="12"/>
        <rFont val="Calibri"/>
        <family val="2"/>
        <scheme val="minor"/>
      </rPr>
      <t xml:space="preserve">MG (0) y </t>
    </r>
    <r>
      <rPr>
        <b/>
        <sz val="12"/>
        <rFont val="Calibri"/>
        <family val="2"/>
        <scheme val="minor"/>
      </rPr>
      <t>F</t>
    </r>
    <r>
      <rPr>
        <b/>
        <vertAlign val="subscript"/>
        <sz val="12"/>
        <rFont val="Calibri"/>
        <family val="2"/>
        <scheme val="minor"/>
      </rPr>
      <t>I (0)</t>
    </r>
  </si>
  <si>
    <r>
      <t>∆C</t>
    </r>
    <r>
      <rPr>
        <b/>
        <vertAlign val="subscript"/>
        <sz val="12"/>
        <rFont val="Calibri"/>
        <family val="2"/>
        <scheme val="minor"/>
      </rPr>
      <t>minerales</t>
    </r>
  </si>
  <si>
    <r>
      <t>∆CO</t>
    </r>
    <r>
      <rPr>
        <b/>
        <vertAlign val="subscript"/>
        <sz val="12"/>
        <rFont val="Calibri"/>
        <family val="2"/>
        <scheme val="minor"/>
      </rPr>
      <t>2minerales</t>
    </r>
  </si>
  <si>
    <t xml:space="preserve">Crudo </t>
  </si>
  <si>
    <t>Biomasa aérea</t>
  </si>
  <si>
    <r>
      <t>ton dm.ha</t>
    </r>
    <r>
      <rPr>
        <b/>
        <vertAlign val="superscript"/>
        <sz val="10"/>
        <color theme="1"/>
        <rFont val="Calibri"/>
        <family val="2"/>
        <scheme val="minor"/>
      </rPr>
      <t>-1</t>
    </r>
  </si>
  <si>
    <t>Datos nacionales (INFC)</t>
  </si>
  <si>
    <t>ManglarTM</t>
  </si>
  <si>
    <t>Bosque maduroTH</t>
  </si>
  <si>
    <t xml:space="preserve">Gasolina para aviación </t>
  </si>
  <si>
    <t>ManglarTMH</t>
  </si>
  <si>
    <t>Bosque maduroTMH</t>
  </si>
  <si>
    <t>Gasolina para motor a reacción</t>
  </si>
  <si>
    <t>ManglarTH</t>
  </si>
  <si>
    <t>Bosque maduroTM</t>
  </si>
  <si>
    <t>Vol. 4, Cap. 4, Pag. 4.63. Cuadros 4.8</t>
  </si>
  <si>
    <t>Plantaciones de LatifoliadasTM</t>
  </si>
  <si>
    <t>Bosque secundarioTH</t>
  </si>
  <si>
    <t>Plantaciones de LatifoliadasTMH</t>
  </si>
  <si>
    <t>Bosque secundarioTMH</t>
  </si>
  <si>
    <t>Factor Emisión CO2 (kg CO2/m3)</t>
  </si>
  <si>
    <t>Plantaciones de LatifoliadasTH</t>
  </si>
  <si>
    <t>Bosque secundarioTM</t>
  </si>
  <si>
    <t>Factor Emisión CH4 (g CH4/m3)</t>
  </si>
  <si>
    <t>Factor Emisión CH4 (kg CH4/m3)</t>
  </si>
  <si>
    <t>Factor Emisión N2O (g N2O/m3)</t>
  </si>
  <si>
    <t>Factor Emisión N2O (kg N2O/m3)</t>
  </si>
  <si>
    <t>Biomasa de madera muerta y hojarasca (MOM)</t>
  </si>
  <si>
    <r>
      <t>ton ha</t>
    </r>
    <r>
      <rPr>
        <b/>
        <vertAlign val="superscript"/>
        <sz val="11"/>
        <color theme="1"/>
        <rFont val="Calibri"/>
        <family val="2"/>
        <scheme val="minor"/>
      </rPr>
      <t>-1</t>
    </r>
  </si>
  <si>
    <t>Datos nacionales (INFC); tabla 4.50. Promedios de biomasa para el sistema especial de CUT de Factores de Emisión (Opción 1) Informe de Asdrubal Calderon</t>
  </si>
  <si>
    <t>Plantaciones de ConíferasTM</t>
  </si>
  <si>
    <t>Biogás Genérico</t>
  </si>
  <si>
    <r>
      <rPr>
        <sz val="10"/>
        <rFont val="Trebuchet MS"/>
        <family val="2"/>
      </rPr>
      <t>m</t>
    </r>
    <r>
      <rPr>
        <vertAlign val="superscript"/>
        <sz val="10"/>
        <rFont val="Trebuchet MS"/>
        <family val="2"/>
      </rPr>
      <t>3</t>
    </r>
  </si>
  <si>
    <r>
      <rPr>
        <sz val="10"/>
        <rFont val="Trebuchet MS"/>
        <family val="2"/>
      </rPr>
      <t>kg CO</t>
    </r>
    <r>
      <rPr>
        <vertAlign val="subscript"/>
        <sz val="10"/>
        <rFont val="Trebuchet MS"/>
        <family val="2"/>
      </rPr>
      <t>2</t>
    </r>
    <r>
      <rPr>
        <sz val="10"/>
        <rFont val="Trebuchet MS"/>
        <family val="2"/>
      </rPr>
      <t>/m</t>
    </r>
    <r>
      <rPr>
        <vertAlign val="superscript"/>
        <sz val="10"/>
        <rFont val="Trebuchet MS"/>
        <family val="2"/>
      </rPr>
      <t>3</t>
    </r>
  </si>
  <si>
    <r>
      <rPr>
        <sz val="10"/>
        <rFont val="Trebuchet MS"/>
        <family val="2"/>
      </rPr>
      <t>kg CH</t>
    </r>
    <r>
      <rPr>
        <vertAlign val="subscript"/>
        <sz val="10"/>
        <rFont val="Trebuchet MS"/>
        <family val="2"/>
      </rPr>
      <t>4</t>
    </r>
    <r>
      <rPr>
        <sz val="10"/>
        <rFont val="Trebuchet MS"/>
        <family val="2"/>
      </rPr>
      <t>/m</t>
    </r>
    <r>
      <rPr>
        <vertAlign val="superscript"/>
        <sz val="10"/>
        <rFont val="Trebuchet MS"/>
        <family val="2"/>
      </rPr>
      <t>3</t>
    </r>
  </si>
  <si>
    <r>
      <rPr>
        <sz val="10"/>
        <rFont val="Trebuchet MS"/>
        <family val="2"/>
      </rPr>
      <t>kg N</t>
    </r>
    <r>
      <rPr>
        <vertAlign val="subscript"/>
        <sz val="10"/>
        <rFont val="Trebuchet MS"/>
        <family val="2"/>
      </rPr>
      <t>2</t>
    </r>
    <r>
      <rPr>
        <sz val="10"/>
        <rFont val="Trebuchet MS"/>
        <family val="2"/>
      </rPr>
      <t>O/m</t>
    </r>
    <r>
      <rPr>
        <vertAlign val="superscript"/>
        <sz val="10"/>
        <rFont val="Trebuchet MS"/>
        <family val="2"/>
      </rPr>
      <t>3</t>
    </r>
  </si>
  <si>
    <t>Bosque Intervenido</t>
  </si>
  <si>
    <t>Plantaciones de ConíferasTMH</t>
  </si>
  <si>
    <t xml:space="preserve">Gas Natural </t>
  </si>
  <si>
    <t>Plantaciones de ConíferasTH</t>
  </si>
  <si>
    <t>GLP Genérico</t>
  </si>
  <si>
    <t>kg</t>
  </si>
  <si>
    <r>
      <rPr>
        <sz val="10"/>
        <rFont val="Trebuchet MS"/>
        <family val="2"/>
      </rPr>
      <t>kg CO</t>
    </r>
    <r>
      <rPr>
        <vertAlign val="subscript"/>
        <sz val="10"/>
        <rFont val="Trebuchet MS"/>
        <family val="2"/>
      </rPr>
      <t>2</t>
    </r>
    <r>
      <rPr>
        <sz val="10"/>
        <rFont val="Trebuchet MS"/>
        <family val="2"/>
      </rPr>
      <t>/kg</t>
    </r>
  </si>
  <si>
    <r>
      <rPr>
        <sz val="10"/>
        <rFont val="Trebuchet MS"/>
        <family val="2"/>
      </rPr>
      <t>kg CH</t>
    </r>
    <r>
      <rPr>
        <vertAlign val="subscript"/>
        <sz val="10"/>
        <rFont val="Trebuchet MS"/>
        <family val="2"/>
      </rPr>
      <t>4</t>
    </r>
    <r>
      <rPr>
        <sz val="10"/>
        <rFont val="Trebuchet MS"/>
        <family val="2"/>
      </rPr>
      <t>/kg</t>
    </r>
  </si>
  <si>
    <r>
      <rPr>
        <sz val="10"/>
        <rFont val="Trebuchet MS"/>
        <family val="2"/>
      </rPr>
      <t>kg N</t>
    </r>
    <r>
      <rPr>
        <vertAlign val="subscript"/>
        <sz val="10"/>
        <rFont val="Trebuchet MS"/>
        <family val="2"/>
      </rPr>
      <t>2</t>
    </r>
    <r>
      <rPr>
        <sz val="10"/>
        <rFont val="Trebuchet MS"/>
        <family val="2"/>
      </rPr>
      <t>O/kg</t>
    </r>
  </si>
  <si>
    <t>RastrojosTM</t>
  </si>
  <si>
    <t>Plantación de latifoliadasTH</t>
  </si>
  <si>
    <t>Gas MAPP</t>
  </si>
  <si>
    <t>Cálculo estequiométrico</t>
  </si>
  <si>
    <t>Plantaciones de latifoliadas</t>
  </si>
  <si>
    <t>Valores de biomasa optenidos a partir del Vol. 4. Cap. 2, Pág. 2.35, Cuadro  2.2. Refinamiento de 2019 de las directrices del IPCC del 2006. Para plantaciones coníferas y latifoleadas en Tropical montano no hay data para hojarasca, solo para madera muerta se tomó el valo de 3,3. de "All vegetation type" y se tomó el dato de hojarasca de la zona tropical humedo (5,9 y 4,3 para latifoleadas y coníferas respectivamente)</t>
  </si>
  <si>
    <t>RastrojosTMH</t>
  </si>
  <si>
    <t>Plantación de latifoliadasTMH</t>
  </si>
  <si>
    <t>Acetileno</t>
  </si>
  <si>
    <t xml:space="preserve">Calculo estequiométrico </t>
  </si>
  <si>
    <t>Plantaciones de coniferas</t>
  </si>
  <si>
    <t>RastrojosTH</t>
  </si>
  <si>
    <t>Plantación de latifoliadasTM</t>
  </si>
  <si>
    <t>Cultivo anual (biomasa no leñosa)TM</t>
  </si>
  <si>
    <t>Plantación de coníferasTH</t>
  </si>
  <si>
    <t>Refrigerante</t>
  </si>
  <si>
    <t>Factor Emisión CO2eq (kg CO2eq/kg)</t>
  </si>
  <si>
    <t>Tierras de Cultivo</t>
  </si>
  <si>
    <t>Cultivo anual (biomasa no leñosa)TMH</t>
  </si>
  <si>
    <t>Plantación de coníferasTMH</t>
  </si>
  <si>
    <t>Cultivo anual y perenne (biomasa no leñosa)</t>
  </si>
  <si>
    <t>Vol. 4, Cap 4, Pag. 4.57. Cuadro 4.3</t>
  </si>
  <si>
    <t>Cultivo anual (biomasa no leñosa)TH</t>
  </si>
  <si>
    <t>Plantación de coníferasTM</t>
  </si>
  <si>
    <t>HFC-23 / R-23</t>
  </si>
  <si>
    <r>
      <rPr>
        <sz val="10"/>
        <rFont val="Trebuchet MS"/>
        <family val="2"/>
      </rPr>
      <t>kgCO</t>
    </r>
    <r>
      <rPr>
        <vertAlign val="subscript"/>
        <sz val="10"/>
        <rFont val="Trebuchet MS"/>
        <family val="2"/>
      </rPr>
      <t>2</t>
    </r>
    <r>
      <rPr>
        <sz val="10"/>
        <rFont val="Trebuchet MS"/>
        <family val="2"/>
      </rPr>
      <t>eq/kg</t>
    </r>
  </si>
  <si>
    <t>GWP-AR5-IPCC</t>
  </si>
  <si>
    <t>kgCO2eq/kg</t>
  </si>
  <si>
    <t>GWP-AR4-IPCC</t>
  </si>
  <si>
    <t>Cultivo perenne (biomasa leñosa)TM</t>
  </si>
  <si>
    <t>RastrojoTH</t>
  </si>
  <si>
    <t>HFC-32 / R-32</t>
  </si>
  <si>
    <t>Biomasa aérea del cultivo</t>
  </si>
  <si>
    <r>
      <t>ton ha</t>
    </r>
    <r>
      <rPr>
        <b/>
        <vertAlign val="superscript"/>
        <sz val="10"/>
        <rFont val="Calibri"/>
        <family val="2"/>
        <scheme val="minor"/>
      </rPr>
      <t>-1</t>
    </r>
  </si>
  <si>
    <t>Cultivo anual</t>
  </si>
  <si>
    <t>Datos derivados del Vol. 4, Cap. 5, Cuadro 5.1; y Vol. 4., Cap. 4, Cuadro 4.3 (IPCC)</t>
  </si>
  <si>
    <t>Cultivo perenne (biomasa leñosa)TMH</t>
  </si>
  <si>
    <t>RastrojoTMH</t>
  </si>
  <si>
    <t>HFC-125 / R-125</t>
  </si>
  <si>
    <t>Cultivo perenne</t>
  </si>
  <si>
    <t>Cultivo perenne (biomasa leñosa)TH</t>
  </si>
  <si>
    <t>RastrojoTM</t>
  </si>
  <si>
    <t>HFC-134 / R-134</t>
  </si>
  <si>
    <t>Biomasa de madera muerta/hojarasca (MOM)</t>
  </si>
  <si>
    <t>Pastizales (biomasa no leñosa) TM</t>
  </si>
  <si>
    <t>Cultivo anual mecanizado (laboreo total)TH</t>
  </si>
  <si>
    <t>HFC-134a / R-134a</t>
  </si>
  <si>
    <t>Pastizales (biomasa no leñosa) TMH</t>
  </si>
  <si>
    <t>Cultivo anual mecanizado (laboreo total)TMH</t>
  </si>
  <si>
    <t>HFC-143 / R-143</t>
  </si>
  <si>
    <t xml:space="preserve">Pastizales </t>
  </si>
  <si>
    <t>Vol. 4, Cap. 6, Pag. 6.8. Cuadro 6.1</t>
  </si>
  <si>
    <t>Pastizales (biomasa no leñosa) TH</t>
  </si>
  <si>
    <t>Cultivo anual mecanizado (laboreo total)TM</t>
  </si>
  <si>
    <t>HFC-143a / R-143a</t>
  </si>
  <si>
    <t>Fracción de carbono de materia seca</t>
  </si>
  <si>
    <t>Vol. 4, Cap. 6, Pag. 6.9. Sección 3.2.1.4</t>
  </si>
  <si>
    <t>ÁrbolesTM</t>
  </si>
  <si>
    <t>Cultivo anual no mecanizado (sin laboreo)TH</t>
  </si>
  <si>
    <t>HFC-404A / R-404A</t>
  </si>
  <si>
    <t>Calculado a partir de la composición porcentual con los valores del AR5 - IPCC. R134A=4%; R125=44%; R143A=52%</t>
  </si>
  <si>
    <t>http://www.gas-servei.com/images/Ficha-tecnica-R404A.pdf</t>
  </si>
  <si>
    <t>Biomasa del pasto (biomasa aérea)</t>
  </si>
  <si>
    <t>ton dm.ha-1</t>
  </si>
  <si>
    <t>Programa de actualización a especialistas IDIAP-MIDA suplemento pecuario 1992</t>
  </si>
  <si>
    <t>ÁrbolesTMH</t>
  </si>
  <si>
    <t>Cultivo anual no mecanizado (sin laboreo)TMH</t>
  </si>
  <si>
    <t>HFC-407C / R-407C</t>
  </si>
  <si>
    <t>Calculado a partir de la composición porcentual con los valores del AR5 - IPCC. R134A=52%; R125=25%; R32=23%. Datos de porcentajes obtenidos de: IPCC    http://www.ipcc.ch/ipccreports/tar/wg3/index.php?idp=144</t>
  </si>
  <si>
    <t>ÁrbolesTH</t>
  </si>
  <si>
    <t>Cultivo anual no mecanizado (sin laboreo)TM</t>
  </si>
  <si>
    <t>HFC-410a / R-410A</t>
  </si>
  <si>
    <t>Calculado a partir de la composición porcentual con los valores del AR5 - IPCC. R125=50%; R32=50%. Datos de porcentajes obtenidos de: IPCC    http://www.ipcc.ch/ipccreports/tar/wg3/index.php?idp=144</t>
  </si>
  <si>
    <t>Cutivo perenne (permanente)TH</t>
  </si>
  <si>
    <t>HFC-413a / R-413A</t>
  </si>
  <si>
    <t>Calculado a partir de la composición porcentual con los valores del AR5 - IPCC. R218=9%; R134A=88% y R600=3%. Datos de porcentajes obtenidos de: IPCC    http://www.ipcc.ch/ipccreports/tar/wg3/index.php?idp=144</t>
  </si>
  <si>
    <t>Cutivo perenne (permanente)TMH</t>
  </si>
  <si>
    <t>HFC-422D / R-422D</t>
  </si>
  <si>
    <t>Calculado a partir de la composición porcentual con los valores del AR5 - IPCC. R125=65,1%; R134A=31,5%; R600A=3,4%. Datos de porcentajes obtenidos de: http://www.gas-servei.com/images/Ficha-tecnica-R422D--I29-.pdf</t>
  </si>
  <si>
    <t>Cutivo perenne (permanente)TM</t>
  </si>
  <si>
    <t>HFC-507A / R-507A</t>
  </si>
  <si>
    <t>Calculado a partir de la composición porcentual con los valores del AR5 - IPCC. R125=50%; R134A=50%. Datos de porcentajes obtenidos de: https://gas-servei.com/shop/docs/ficha-tecnica-r-507a-gas-servei.pdf</t>
  </si>
  <si>
    <t>Pasto mejorado y pasto no degradadoTH</t>
  </si>
  <si>
    <t xml:space="preserve">PFC-14 / R-14 </t>
  </si>
  <si>
    <t>Pasto mejorado y pasto no degradadoTMH</t>
  </si>
  <si>
    <t xml:space="preserve">PFC-218 / R-218 </t>
  </si>
  <si>
    <t>Pasto mejorado y pasto no degradadoTM</t>
  </si>
  <si>
    <t>Pasto moderadamente degradadoTH</t>
  </si>
  <si>
    <t>Pasto moderadamente degradadoTMH</t>
  </si>
  <si>
    <t>Pasto moderadamente degradadoTM</t>
  </si>
  <si>
    <t>Refrigerantes fuentes móviles</t>
  </si>
  <si>
    <t>Pasto severamente degradadoTH</t>
  </si>
  <si>
    <t>Pasto severamente degradadoTMH</t>
  </si>
  <si>
    <t>Pasto severamente degradadoTM</t>
  </si>
  <si>
    <t xml:space="preserve"> </t>
  </si>
  <si>
    <t>Humedales</t>
  </si>
  <si>
    <t>Otras tierrasTH</t>
  </si>
  <si>
    <t>Otras tierrasTMH</t>
  </si>
  <si>
    <t>Otras tierrasTM</t>
  </si>
  <si>
    <t>Extintores</t>
  </si>
  <si>
    <t>Fuente: Vol. 4; Cap 5 y 6, IPCC 2006 y Vol. 4. Cap. 2, Pág. 2.35, Cuadro  2.3. Refinamiento de 2019 de las directrices del IPCC del 2006</t>
  </si>
  <si>
    <t>Extintores CO2eq</t>
  </si>
  <si>
    <r>
      <rPr>
        <sz val="10"/>
        <rFont val="Trebuchet MS"/>
        <family val="2"/>
      </rPr>
      <t>kgCO</t>
    </r>
    <r>
      <rPr>
        <vertAlign val="subscript"/>
        <sz val="10"/>
        <rFont val="Trebuchet MS"/>
        <family val="2"/>
      </rPr>
      <t>2</t>
    </r>
    <r>
      <rPr>
        <sz val="10"/>
        <rFont val="Trebuchet MS"/>
        <family val="2"/>
      </rPr>
      <t>/kg</t>
    </r>
  </si>
  <si>
    <t>Observación:  Para pastizales impactados por proyectos, se recomienda utilzar los valores de pastos moderadamente degradados, ya que son los que más predominan en el país</t>
  </si>
  <si>
    <t>HFC-227ea / FM-200</t>
  </si>
  <si>
    <t>Lubricantes</t>
  </si>
  <si>
    <t>Aceites lubricantes</t>
  </si>
  <si>
    <r>
      <rPr>
        <sz val="10"/>
        <rFont val="Trebuchet MS"/>
        <family val="2"/>
      </rPr>
      <t>kgCO</t>
    </r>
    <r>
      <rPr>
        <vertAlign val="subscript"/>
        <sz val="10"/>
        <rFont val="Trebuchet MS"/>
        <family val="2"/>
      </rPr>
      <t>2</t>
    </r>
    <r>
      <rPr>
        <sz val="10"/>
        <rFont val="Trebuchet MS"/>
        <family val="2"/>
      </rPr>
      <t>/lt</t>
    </r>
  </si>
  <si>
    <t>IPCC 2006</t>
  </si>
  <si>
    <t>Grasa Lubricante</t>
  </si>
  <si>
    <t>Fugas de CO2eq en proceso</t>
  </si>
  <si>
    <r>
      <rPr>
        <sz val="10"/>
        <rFont val="Trebuchet MS"/>
        <family val="2"/>
      </rPr>
      <t>Perdidas de CO</t>
    </r>
    <r>
      <rPr>
        <vertAlign val="subscript"/>
        <sz val="10"/>
        <rFont val="Trebuchet MS"/>
        <family val="2"/>
      </rPr>
      <t>2</t>
    </r>
    <r>
      <rPr>
        <sz val="10"/>
        <rFont val="Trebuchet MS"/>
        <family val="2"/>
      </rPr>
      <t xml:space="preserve"> en procesos que usen este gas</t>
    </r>
  </si>
  <si>
    <t xml:space="preserve">Aislamiento </t>
  </si>
  <si>
    <t>SF6</t>
  </si>
  <si>
    <r>
      <rPr>
        <sz val="10"/>
        <rFont val="Trebuchet MS"/>
        <family val="2"/>
      </rPr>
      <t>kgSF</t>
    </r>
    <r>
      <rPr>
        <vertAlign val="subscript"/>
        <sz val="10"/>
        <rFont val="Trebuchet MS"/>
        <family val="2"/>
      </rPr>
      <t>6</t>
    </r>
    <r>
      <rPr>
        <sz val="11"/>
        <rFont val="Trebuchet MS"/>
        <family val="2"/>
      </rPr>
      <t>/kg</t>
    </r>
  </si>
  <si>
    <t>Emisiones de procesos</t>
  </si>
  <si>
    <t xml:space="preserve">Factor Emisión </t>
  </si>
  <si>
    <t>Minería</t>
  </si>
  <si>
    <t>Extracción de Carbón - Subterráneo</t>
  </si>
  <si>
    <r>
      <rPr>
        <sz val="10"/>
        <rFont val="Trebuchet MS"/>
        <family val="2"/>
      </rPr>
      <t>kgCH</t>
    </r>
    <r>
      <rPr>
        <vertAlign val="subscript"/>
        <sz val="11"/>
        <rFont val="Trebuchet MS"/>
        <family val="2"/>
      </rPr>
      <t>4</t>
    </r>
    <r>
      <rPr>
        <sz val="11"/>
        <rFont val="Trebuchet MS"/>
        <family val="2"/>
      </rPr>
      <t>/t</t>
    </r>
  </si>
  <si>
    <t xml:space="preserve">IPCC 2019 </t>
  </si>
  <si>
    <r>
      <rPr>
        <sz val="10"/>
        <rFont val="Trebuchet MS"/>
        <family val="2"/>
      </rPr>
      <t>kgCO</t>
    </r>
    <r>
      <rPr>
        <vertAlign val="subscript"/>
        <sz val="11"/>
        <rFont val="Trebuchet MS"/>
        <family val="2"/>
      </rPr>
      <t>2</t>
    </r>
    <r>
      <rPr>
        <sz val="11"/>
        <rFont val="Trebuchet MS"/>
        <family val="2"/>
      </rPr>
      <t>/t</t>
    </r>
  </si>
  <si>
    <r>
      <rPr>
        <sz val="10"/>
        <rFont val="Trebuchet MS"/>
        <family val="2"/>
      </rPr>
      <t>kgN</t>
    </r>
    <r>
      <rPr>
        <vertAlign val="subscript"/>
        <sz val="11"/>
        <rFont val="Trebuchet MS"/>
        <family val="2"/>
      </rPr>
      <t>2</t>
    </r>
    <r>
      <rPr>
        <sz val="11"/>
        <rFont val="Trebuchet MS"/>
        <family val="2"/>
      </rPr>
      <t>O/t</t>
    </r>
  </si>
  <si>
    <t>Extracción de Carbón - Cielo Abierto</t>
  </si>
  <si>
    <t>Producción de petróleo On-Shore (tecnologías de bajas emisiones)</t>
  </si>
  <si>
    <t>Barriles producidos</t>
  </si>
  <si>
    <r>
      <rPr>
        <sz val="10"/>
        <rFont val="Trebuchet MS"/>
        <family val="2"/>
      </rPr>
      <t>kgCH</t>
    </r>
    <r>
      <rPr>
        <vertAlign val="subscript"/>
        <sz val="11"/>
        <rFont val="Trebuchet MS"/>
        <family val="2"/>
      </rPr>
      <t>4</t>
    </r>
    <r>
      <rPr>
        <sz val="11"/>
        <rFont val="Trebuchet MS"/>
        <family val="2"/>
      </rPr>
      <t>/barril</t>
    </r>
  </si>
  <si>
    <r>
      <rPr>
        <sz val="10"/>
        <rFont val="Trebuchet MS"/>
        <family val="2"/>
      </rPr>
      <t>kgCO</t>
    </r>
    <r>
      <rPr>
        <vertAlign val="subscript"/>
        <sz val="11"/>
        <rFont val="Trebuchet MS"/>
        <family val="2"/>
      </rPr>
      <t>2</t>
    </r>
    <r>
      <rPr>
        <sz val="11"/>
        <rFont val="Trebuchet MS"/>
        <family val="2"/>
      </rPr>
      <t>/barril</t>
    </r>
  </si>
  <si>
    <r>
      <rPr>
        <sz val="10"/>
        <rFont val="Trebuchet MS"/>
        <family val="2"/>
      </rPr>
      <t>kgN</t>
    </r>
    <r>
      <rPr>
        <vertAlign val="subscript"/>
        <sz val="11"/>
        <rFont val="Trebuchet MS"/>
        <family val="2"/>
      </rPr>
      <t>2</t>
    </r>
    <r>
      <rPr>
        <sz val="11"/>
        <rFont val="Trebuchet MS"/>
        <family val="2"/>
      </rPr>
      <t>O/barril</t>
    </r>
  </si>
  <si>
    <t>Producción de petróleo On-Shore (tecnologías de altas emisiones)</t>
  </si>
  <si>
    <t xml:space="preserve">Producción de petróleo Off-Shore </t>
  </si>
  <si>
    <t>Transporte de petróleo en tuberías</t>
  </si>
  <si>
    <t>Barriles transport.</t>
  </si>
  <si>
    <t>Transporte de petróleo en camiones y trenes</t>
  </si>
  <si>
    <t>Petróleo almacenado en tanques</t>
  </si>
  <si>
    <t>Barriles alimentados</t>
  </si>
  <si>
    <t>Refinación de petróleo</t>
  </si>
  <si>
    <t>Barriles refinados</t>
  </si>
  <si>
    <t>Producción de gas natural On-Shore (tecnologías de bajas emisiones)</t>
  </si>
  <si>
    <r>
      <rPr>
        <sz val="10"/>
        <rFont val="Trebuchet MS"/>
        <family val="2"/>
      </rPr>
      <t>m</t>
    </r>
    <r>
      <rPr>
        <vertAlign val="superscript"/>
        <sz val="10"/>
        <rFont val="Trebuchet MS"/>
        <family val="2"/>
      </rPr>
      <t>3</t>
    </r>
    <r>
      <rPr>
        <sz val="10"/>
        <rFont val="Trebuchet MS"/>
        <family val="2"/>
      </rPr>
      <t xml:space="preserve"> producidos</t>
    </r>
  </si>
  <si>
    <r>
      <rPr>
        <sz val="10"/>
        <rFont val="Trebuchet MS"/>
        <family val="2"/>
      </rPr>
      <t>kgCH</t>
    </r>
    <r>
      <rPr>
        <vertAlign val="subscript"/>
        <sz val="11"/>
        <rFont val="Trebuchet MS"/>
        <family val="2"/>
      </rPr>
      <t>4</t>
    </r>
    <r>
      <rPr>
        <sz val="11"/>
        <rFont val="Trebuchet MS"/>
        <family val="2"/>
      </rPr>
      <t>/m</t>
    </r>
    <r>
      <rPr>
        <vertAlign val="superscript"/>
        <sz val="11"/>
        <rFont val="Trebuchet MS"/>
        <family val="2"/>
      </rPr>
      <t>3</t>
    </r>
  </si>
  <si>
    <r>
      <rPr>
        <sz val="10"/>
        <rFont val="Trebuchet MS"/>
        <family val="2"/>
      </rPr>
      <t>kgCO</t>
    </r>
    <r>
      <rPr>
        <vertAlign val="subscript"/>
        <sz val="11"/>
        <rFont val="Trebuchet MS"/>
        <family val="2"/>
      </rPr>
      <t>2</t>
    </r>
    <r>
      <rPr>
        <sz val="11"/>
        <rFont val="Trebuchet MS"/>
        <family val="2"/>
      </rPr>
      <t>/m</t>
    </r>
    <r>
      <rPr>
        <vertAlign val="superscript"/>
        <sz val="11"/>
        <rFont val="Trebuchet MS"/>
        <family val="2"/>
      </rPr>
      <t>3</t>
    </r>
  </si>
  <si>
    <r>
      <rPr>
        <sz val="10"/>
        <rFont val="Trebuchet MS"/>
        <family val="2"/>
      </rPr>
      <t>kgN</t>
    </r>
    <r>
      <rPr>
        <vertAlign val="subscript"/>
        <sz val="11"/>
        <rFont val="Trebuchet MS"/>
        <family val="2"/>
      </rPr>
      <t>2</t>
    </r>
    <r>
      <rPr>
        <sz val="11"/>
        <rFont val="Trebuchet MS"/>
        <family val="2"/>
      </rPr>
      <t>O/m</t>
    </r>
    <r>
      <rPr>
        <vertAlign val="superscript"/>
        <sz val="11"/>
        <rFont val="Trebuchet MS"/>
        <family val="2"/>
      </rPr>
      <t>3</t>
    </r>
  </si>
  <si>
    <t>Producción de gas natural On-Shore (tecnologías de altas emisiones)</t>
  </si>
  <si>
    <t xml:space="preserve">Producción de gas natural Off-Shore </t>
  </si>
  <si>
    <t>Tratamiento del gas natural (sin corrección de fugas en sistema)</t>
  </si>
  <si>
    <r>
      <rPr>
        <sz val="10"/>
        <rFont val="Trebuchet MS"/>
        <family val="2"/>
      </rPr>
      <t>m</t>
    </r>
    <r>
      <rPr>
        <vertAlign val="superscript"/>
        <sz val="10"/>
        <rFont val="Trebuchet MS"/>
        <family val="2"/>
      </rPr>
      <t>3</t>
    </r>
    <r>
      <rPr>
        <sz val="10"/>
        <rFont val="Trebuchet MS"/>
        <family val="2"/>
      </rPr>
      <t xml:space="preserve"> tratados</t>
    </r>
  </si>
  <si>
    <t>Tratamiento del gas natural (con corrección de fugas en sistema)</t>
  </si>
  <si>
    <t>Transporte del gas natural en tuberías (sin corrección de fugas en sistema)</t>
  </si>
  <si>
    <r>
      <rPr>
        <sz val="10"/>
        <rFont val="Trebuchet MS"/>
        <family val="2"/>
      </rPr>
      <t>m</t>
    </r>
    <r>
      <rPr>
        <vertAlign val="superscript"/>
        <sz val="10"/>
        <rFont val="Trebuchet MS"/>
        <family val="2"/>
      </rPr>
      <t>3</t>
    </r>
    <r>
      <rPr>
        <sz val="10"/>
        <rFont val="Trebuchet MS"/>
        <family val="2"/>
      </rPr>
      <t xml:space="preserve"> transportados</t>
    </r>
  </si>
  <si>
    <t>Transporte del gas natural en tuberías (con corrección de fugas en sistema)</t>
  </si>
  <si>
    <t>Almacenamiento del gas natural (sin corrección de fugas en sistema)</t>
  </si>
  <si>
    <r>
      <rPr>
        <sz val="10"/>
        <rFont val="Trebuchet MS"/>
        <family val="2"/>
      </rPr>
      <t>m</t>
    </r>
    <r>
      <rPr>
        <vertAlign val="superscript"/>
        <sz val="10"/>
        <rFont val="Trebuchet MS"/>
        <family val="2"/>
      </rPr>
      <t>3</t>
    </r>
    <r>
      <rPr>
        <sz val="10"/>
        <rFont val="Trebuchet MS"/>
        <family val="2"/>
      </rPr>
      <t xml:space="preserve"> almacenados</t>
    </r>
  </si>
  <si>
    <t>Almacenamiento del gas natural (con corrección de fugas en sistema)</t>
  </si>
  <si>
    <t>Distribución y comercialización del gas natural (sin corrección de fugas en sistema)</t>
  </si>
  <si>
    <r>
      <rPr>
        <sz val="10"/>
        <rFont val="Trebuchet MS"/>
        <family val="2"/>
      </rPr>
      <t>m</t>
    </r>
    <r>
      <rPr>
        <vertAlign val="superscript"/>
        <sz val="10"/>
        <rFont val="Trebuchet MS"/>
        <family val="2"/>
      </rPr>
      <t>3</t>
    </r>
    <r>
      <rPr>
        <sz val="10"/>
        <rFont val="Trebuchet MS"/>
        <family val="2"/>
      </rPr>
      <t xml:space="preserve"> comercializados</t>
    </r>
  </si>
  <si>
    <t>Distribución y comercialización del gas natural (con corrección de fugas en sistema)</t>
  </si>
  <si>
    <t>CH4 en Cultivo de arroz</t>
  </si>
  <si>
    <t>Ha inund. x días</t>
  </si>
  <si>
    <r>
      <rPr>
        <sz val="10"/>
        <rFont val="Trebuchet MS"/>
        <family val="2"/>
      </rPr>
      <t>kgCH</t>
    </r>
    <r>
      <rPr>
        <vertAlign val="subscript"/>
        <sz val="11"/>
        <rFont val="Trebuchet MS"/>
        <family val="2"/>
      </rPr>
      <t>4</t>
    </r>
    <r>
      <rPr>
        <sz val="11"/>
        <rFont val="Trebuchet MS"/>
        <family val="2"/>
      </rPr>
      <t>/Ha.inund.xdía</t>
    </r>
  </si>
  <si>
    <t>IPCC 2019</t>
  </si>
  <si>
    <t>Manejo Embalses</t>
  </si>
  <si>
    <t>Estanques o lagos de mas de 20 años</t>
  </si>
  <si>
    <t>Ha inundadas</t>
  </si>
  <si>
    <r>
      <rPr>
        <sz val="10"/>
        <rFont val="Trebuchet MS"/>
        <family val="2"/>
      </rPr>
      <t>kgCH</t>
    </r>
    <r>
      <rPr>
        <vertAlign val="subscript"/>
        <sz val="11"/>
        <rFont val="Trebuchet MS"/>
        <family val="2"/>
      </rPr>
      <t>4</t>
    </r>
    <r>
      <rPr>
        <sz val="11"/>
        <rFont val="Trebuchet MS"/>
        <family val="2"/>
      </rPr>
      <t>/Ha</t>
    </r>
  </si>
  <si>
    <t>kgCO2eq e/t</t>
  </si>
  <si>
    <t>Estanques o lagos salinos (menos de 20 años y salinidad de &gt;18 ppt)</t>
  </si>
  <si>
    <t>Estanques o lagos agua dulce (menos de 20 años y salinidad de &lt;18 ppt)</t>
  </si>
  <si>
    <t>Canales y zanjas inundadas</t>
  </si>
  <si>
    <t>Industrial</t>
  </si>
  <si>
    <t>Producción de coque</t>
  </si>
  <si>
    <t>Producción de carbón vegetal</t>
  </si>
  <si>
    <t>Producción de cemento (Clinker)</t>
  </si>
  <si>
    <t>t Clinker</t>
  </si>
  <si>
    <t>kgCO2eq/t Clinker</t>
  </si>
  <si>
    <t>Producción de Cal Viva</t>
  </si>
  <si>
    <t>kgCO2eq/t</t>
  </si>
  <si>
    <t>Producción de Cal Dolomítica</t>
  </si>
  <si>
    <t>Calcinación de Calcita (CaCO3)</t>
  </si>
  <si>
    <t>Calcinación de Magnesita (MgCO3)</t>
  </si>
  <si>
    <t>Calcinación de Dolomita (CaMg(CO3)2)</t>
  </si>
  <si>
    <t>Calcinación de Siderita (FeCO3)</t>
  </si>
  <si>
    <t>Calcinación de Rhodochrosita (MnCO3)</t>
  </si>
  <si>
    <t>Calcinación de Carbonato de sodio (Na2CO3)</t>
  </si>
  <si>
    <t>Calcinación de Ankerita (Ca(Fe,Mg,Mn)(CO3)2)</t>
  </si>
  <si>
    <t>Producción de vidrio plano y recipientes</t>
  </si>
  <si>
    <t>Producción de fibra de vidrio</t>
  </si>
  <si>
    <t>Producción de vidrio especial (vajillas)</t>
  </si>
  <si>
    <t>Producción de vidrio especial (iluminación)</t>
  </si>
  <si>
    <t>Producción de vidrio especial (laboratorio y/o farmacia)</t>
  </si>
  <si>
    <t>Producción de Amoniaco</t>
  </si>
  <si>
    <t>t NH3</t>
  </si>
  <si>
    <t>kgCO2eq/ t NH3</t>
  </si>
  <si>
    <t>Producción Polipropileno (Gases quemados TEA)</t>
  </si>
  <si>
    <t>Análisis estequiométrico</t>
  </si>
  <si>
    <t>Producción de Acido Nítrico</t>
  </si>
  <si>
    <r>
      <rPr>
        <sz val="10"/>
        <rFont val="Trebuchet MS"/>
        <family val="2"/>
      </rPr>
      <t>kgN</t>
    </r>
    <r>
      <rPr>
        <vertAlign val="subscript"/>
        <sz val="10"/>
        <rFont val="Trebuchet MS"/>
        <family val="2"/>
      </rPr>
      <t>2</t>
    </r>
    <r>
      <rPr>
        <sz val="10"/>
        <rFont val="Trebuchet MS"/>
        <family val="2"/>
      </rPr>
      <t>O/t</t>
    </r>
  </si>
  <si>
    <t xml:space="preserve">Vertimientos industriales tratados (PTAR aeróbica) </t>
  </si>
  <si>
    <t>kg DQO</t>
  </si>
  <si>
    <r>
      <rPr>
        <sz val="10"/>
        <rFont val="Trebuchet MS"/>
        <family val="2"/>
      </rPr>
      <t>kgCH</t>
    </r>
    <r>
      <rPr>
        <vertAlign val="subscript"/>
        <sz val="10"/>
        <rFont val="Trebuchet MS"/>
        <family val="2"/>
      </rPr>
      <t>4</t>
    </r>
    <r>
      <rPr>
        <sz val="10"/>
        <rFont val="Trebuchet MS"/>
        <family val="2"/>
      </rPr>
      <t>/kg DQO</t>
    </r>
  </si>
  <si>
    <t xml:space="preserve">Vertimientos industriales tratados (Digestor anaeróbico) </t>
  </si>
  <si>
    <t xml:space="preserve">Vertimientos industriales tratados (Reactor anaeróbico) </t>
  </si>
  <si>
    <t xml:space="preserve">Vertimientos industriales tratados (Laguna anaeróbica &lt; 2 mts) </t>
  </si>
  <si>
    <t xml:space="preserve">Vertimientos industriales tratados (Laguna anaeróbica &gt; 2 mts) </t>
  </si>
  <si>
    <t xml:space="preserve">Vertimientos domésticos tratados (PTAR aeróbica) </t>
  </si>
  <si>
    <t>kg DBO</t>
  </si>
  <si>
    <r>
      <rPr>
        <sz val="10"/>
        <rFont val="Trebuchet MS"/>
        <family val="2"/>
      </rPr>
      <t>kgCH</t>
    </r>
    <r>
      <rPr>
        <vertAlign val="subscript"/>
        <sz val="10"/>
        <rFont val="Trebuchet MS"/>
        <family val="2"/>
      </rPr>
      <t>4</t>
    </r>
    <r>
      <rPr>
        <sz val="10"/>
        <rFont val="Trebuchet MS"/>
        <family val="2"/>
      </rPr>
      <t>/kg DBO</t>
    </r>
  </si>
  <si>
    <t xml:space="preserve">Vertimientos domésticos tratados (Digestor anaeróbico) </t>
  </si>
  <si>
    <t xml:space="preserve">Vertimientos domésticos tratados (Reactor anaeróbico) </t>
  </si>
  <si>
    <t xml:space="preserve">Vertimientos domésticos tratados (Laguna anaeróbica &lt; 2 mts) </t>
  </si>
  <si>
    <t xml:space="preserve">Vertimientos domésticos tratados (Laguna anaeróbica &gt; 2 mts) </t>
  </si>
  <si>
    <t xml:space="preserve">Domésticos - Rellenos sanitario anaeróbico </t>
  </si>
  <si>
    <t xml:space="preserve">Vertimientos domésticos tratados (Sistema séptico) </t>
  </si>
  <si>
    <t>Emisiones CH4 (kgCH4/kg res. húmedo)</t>
  </si>
  <si>
    <t xml:space="preserve">Domésticos - Rellenos sanitario semi-aerobico </t>
  </si>
  <si>
    <t xml:space="preserve">Residuos </t>
  </si>
  <si>
    <t>Tratamiento de lodos orgánicos industriales</t>
  </si>
  <si>
    <t>kgCH4/kg DQO</t>
  </si>
  <si>
    <t>Fracción masa seca</t>
  </si>
  <si>
    <t>Fracción de carbono</t>
  </si>
  <si>
    <t>Fracción carbono fósil</t>
  </si>
  <si>
    <t>factor oxidación</t>
  </si>
  <si>
    <t>FE CO2 kg CO2/kg residuos húmedo</t>
  </si>
  <si>
    <t>COD</t>
  </si>
  <si>
    <t>Relleno Sanitario Anaeróbico</t>
  </si>
  <si>
    <t>Relleno Sanitario Semi-aerobico</t>
  </si>
  <si>
    <t>Botadero &gt;=5mts profundidad</t>
  </si>
  <si>
    <t>Botadero &gt;5mts profundidad</t>
  </si>
  <si>
    <t>No clasificado</t>
  </si>
  <si>
    <t>Promedio</t>
  </si>
  <si>
    <t>Desviación estándar</t>
  </si>
  <si>
    <t>Incertidumbre</t>
  </si>
  <si>
    <t>Domésticos - Botadero &gt; 5mts prof.</t>
  </si>
  <si>
    <t>Tratamiento de lodos orgánicos domésticos</t>
  </si>
  <si>
    <t>Domésticos</t>
  </si>
  <si>
    <t xml:space="preserve">Calculado con las fracciones para Latinoamérica </t>
  </si>
  <si>
    <t>Domésticos - Botadero &lt; 5mts prof.</t>
  </si>
  <si>
    <t>Residuos</t>
  </si>
  <si>
    <t xml:space="preserve">Residuos solidos a relleno sanitario anaeróbico </t>
  </si>
  <si>
    <t>kg húmedo</t>
  </si>
  <si>
    <r>
      <rPr>
        <sz val="10"/>
        <rFont val="Trebuchet MS"/>
        <family val="2"/>
      </rPr>
      <t>kgCH</t>
    </r>
    <r>
      <rPr>
        <vertAlign val="subscript"/>
        <sz val="10"/>
        <rFont val="Trebuchet MS"/>
        <family val="2"/>
      </rPr>
      <t>4</t>
    </r>
    <r>
      <rPr>
        <sz val="10"/>
        <rFont val="Trebuchet MS"/>
        <family val="2"/>
      </rPr>
      <t>/kg húmedo</t>
    </r>
  </si>
  <si>
    <t>Lodos aguas residuales</t>
  </si>
  <si>
    <t>Domésticos - No clasificado</t>
  </si>
  <si>
    <t xml:space="preserve">Residuos solidos a relleno sanitario semiaerobico </t>
  </si>
  <si>
    <t>Hospitalarios</t>
  </si>
  <si>
    <t>Residuos solidos a vertedero &gt;5mts profundidad</t>
  </si>
  <si>
    <t>Industriales</t>
  </si>
  <si>
    <t>Industrias alimentos, bebidas y tabaco</t>
  </si>
  <si>
    <t>Residuos solidos a vertedero &lt;5mts profundidad</t>
  </si>
  <si>
    <t>Desechos fósiles líquidos</t>
  </si>
  <si>
    <t>Industrias textiles</t>
  </si>
  <si>
    <t>Residuos solidos a disposición sin categorizar</t>
  </si>
  <si>
    <t>Inc. Abierta Domésticos</t>
  </si>
  <si>
    <t>Industrias de la Madera y Productos de Madera</t>
  </si>
  <si>
    <t xml:space="preserve">Lodos aguas residuales a relleno sanitario anaeróbico </t>
  </si>
  <si>
    <t xml:space="preserve">Industrias de Pulpa y Papel (o relacionadas) </t>
  </si>
  <si>
    <t>Residuos solidos hospital a relleno sanitario anaeróbico</t>
  </si>
  <si>
    <t xml:space="preserve">Industrias del caucho (o relacionadas) </t>
  </si>
  <si>
    <t>Residuos solidos alimentos a relleno sanitario anaeróbico</t>
  </si>
  <si>
    <t xml:space="preserve">Industrias de construcción y demolición </t>
  </si>
  <si>
    <t>Residuos solidos textil a relleno sanitario anaeróbico</t>
  </si>
  <si>
    <t>Otras industrias (incluye manufactureras)</t>
  </si>
  <si>
    <t>Residuos solidos madera a relleno sanitario anaeróbico</t>
  </si>
  <si>
    <t>Residuos solidos pulpa y papel a relleno sanitario anaeróbico</t>
  </si>
  <si>
    <t>Residuos solidos caucho a relleno sanitario anaeróbico</t>
  </si>
  <si>
    <t>Factor T</t>
  </si>
  <si>
    <t>Residuos solidos construcción a relleno sanitario anaeróbico</t>
  </si>
  <si>
    <t>Residuos solidos otras industrias a relleno sanitario anaeróbico</t>
  </si>
  <si>
    <t>Quema a cielo abierto residuos solidos Domésticos</t>
  </si>
  <si>
    <t>kg res. húmedo</t>
  </si>
  <si>
    <r>
      <rPr>
        <sz val="10"/>
        <rFont val="Trebuchet MS"/>
        <family val="2"/>
      </rPr>
      <t>kgN</t>
    </r>
    <r>
      <rPr>
        <vertAlign val="subscript"/>
        <sz val="10"/>
        <rFont val="Trebuchet MS"/>
        <family val="2"/>
      </rPr>
      <t>2</t>
    </r>
    <r>
      <rPr>
        <sz val="10"/>
        <rFont val="Trebuchet MS"/>
        <family val="2"/>
      </rPr>
      <t>O/kg húmedo</t>
    </r>
  </si>
  <si>
    <t>kgCO2eq/kg húmedo</t>
  </si>
  <si>
    <t>Incineración controlada residuos solidos Domésticos (continua-cargador mecánico)</t>
  </si>
  <si>
    <t>Incineración controlada residuos solidos Domésticos (continua-lecho fluidizado)</t>
  </si>
  <si>
    <t>Incineración controlada residuos solidos Domésticos (por lotes-cargador mecánico)</t>
  </si>
  <si>
    <t>Incineración controlada residuos solidos Domésticos (por lotes-lecho fluidizado)</t>
  </si>
  <si>
    <t>Incineración controlada residuos solidos industriales (continua-cargador mecánico)</t>
  </si>
  <si>
    <t>Incineración controlada residuos solidos industriales (continua-lecho fluidizado)</t>
  </si>
  <si>
    <t>Incineración controlada residuos solidos industriales (por lotes-cargador mecánico)</t>
  </si>
  <si>
    <t>Incineración controlada residuos solidos industriales (por lotes-lecho fluidizado)</t>
  </si>
  <si>
    <t>Incineración controlada residuos solidos hospitalarios (continua-cargador mecánico)</t>
  </si>
  <si>
    <t>Incineración controlada residuos solidos hospitalarios (continua-lecho fluidizado)</t>
  </si>
  <si>
    <t>Incineración controlada residuos solidos hospitalarios (por lotes-cargador mecánico)</t>
  </si>
  <si>
    <t>Incineración controlada residuos solidos hospitalarios (por lotes-lecho fluidizado)</t>
  </si>
  <si>
    <t>Incineración controlada residuos solidos lodos aguas residuales (continua-cargador mecánico)</t>
  </si>
  <si>
    <t>Incineración controlada residuos solidos lodos aguas residuales (continua-lecho fluidizado)</t>
  </si>
  <si>
    <t>Incineración controlada residuos solidos lodos aguas residuales (por lotes-cargador mecánico)</t>
  </si>
  <si>
    <t>Incineración controlada residuos solidos lodos aguas residuales (por lotes-lecho fluidizado)</t>
  </si>
  <si>
    <t>Incineración controlada residuos líquidos fósiles (continua-cargador mecánico)</t>
  </si>
  <si>
    <t>Incineración controlada residuos líquidos fósiles (continua-lecho fluidizado)</t>
  </si>
  <si>
    <t>Incineración controlada residuos líquidos fósiles (por lotes-cargador mecánico)</t>
  </si>
  <si>
    <t>Incineración controlada residuos líquidos fósiles (por lotes-lecho fluidizado)</t>
  </si>
  <si>
    <r>
      <rPr>
        <sz val="11"/>
        <color theme="0"/>
        <rFont val="Trebuchet MS"/>
        <family val="2"/>
      </rPr>
      <t>CH</t>
    </r>
    <r>
      <rPr>
        <vertAlign val="subscript"/>
        <sz val="11"/>
        <color theme="0"/>
        <rFont val="Trebuchet MS"/>
        <family val="2"/>
      </rPr>
      <t>4</t>
    </r>
  </si>
  <si>
    <t>CO2eq e (21)</t>
  </si>
  <si>
    <t>CO2eq e (25)</t>
  </si>
  <si>
    <t xml:space="preserve">Fermentación Entérica </t>
  </si>
  <si>
    <t>Factor Emisión CH4 (kg CO2eq/kg)</t>
  </si>
  <si>
    <t>kgCH4/cabeza/año</t>
  </si>
  <si>
    <t>kgCO2eq e/cabeza</t>
  </si>
  <si>
    <t>Fermentación Entérica</t>
  </si>
  <si>
    <t>Ganado vacuno lechero</t>
  </si>
  <si>
    <t>Cabezas</t>
  </si>
  <si>
    <r>
      <rPr>
        <sz val="10"/>
        <rFont val="Trebuchet MS"/>
        <family val="2"/>
      </rPr>
      <t>kgCH</t>
    </r>
    <r>
      <rPr>
        <vertAlign val="subscript"/>
        <sz val="11"/>
        <rFont val="Trebuchet MS"/>
        <family val="2"/>
      </rPr>
      <t>4</t>
    </r>
    <r>
      <rPr>
        <sz val="11"/>
        <rFont val="Trebuchet MS"/>
        <family val="2"/>
      </rPr>
      <t>/cabeza</t>
    </r>
  </si>
  <si>
    <t>Ganado vacuno no lechero</t>
  </si>
  <si>
    <t>Búfalos</t>
  </si>
  <si>
    <t>Ovejas</t>
  </si>
  <si>
    <t>Cabras</t>
  </si>
  <si>
    <t>Caballos</t>
  </si>
  <si>
    <t>Mulas y Asnos</t>
  </si>
  <si>
    <t>Cerdos</t>
  </si>
  <si>
    <t>Conejos</t>
  </si>
  <si>
    <t>Pollos de engorde</t>
  </si>
  <si>
    <t>Wang SY; Huang DJ</t>
  </si>
  <si>
    <t>Emisiones de N2O según tipo de Gestión (kg N2O/cabeza*año)</t>
  </si>
  <si>
    <t>Emisiones de CH4 según tipo de Gestión (kg CH4/cabeza*año)</t>
  </si>
  <si>
    <t>CH4</t>
  </si>
  <si>
    <t>N2O</t>
  </si>
  <si>
    <t>TIPO DE ANIMAL</t>
  </si>
  <si>
    <r>
      <rPr>
        <sz val="11"/>
        <color theme="0"/>
        <rFont val="Trebuchet MS"/>
        <family val="2"/>
      </rPr>
      <t>FACTOR  DE EMISIÓN CH</t>
    </r>
    <r>
      <rPr>
        <vertAlign val="subscript"/>
        <sz val="11"/>
        <color theme="0"/>
        <rFont val="Trebuchet MS"/>
        <family val="2"/>
      </rPr>
      <t>4</t>
    </r>
  </si>
  <si>
    <t>FACTOR EMISIÓN CO2eq e</t>
  </si>
  <si>
    <t>N Excretado</t>
  </si>
  <si>
    <t>% N según Sistema de Manejo</t>
  </si>
  <si>
    <t>N Excretado por Sistema de Manejo</t>
  </si>
  <si>
    <r>
      <rPr>
        <sz val="11"/>
        <color theme="0"/>
        <rFont val="Trebuchet MS"/>
        <family val="2"/>
      </rPr>
      <t>Factor de Emisión N</t>
    </r>
    <r>
      <rPr>
        <vertAlign val="subscript"/>
        <sz val="11"/>
        <color theme="0"/>
        <rFont val="Trebuchet MS"/>
        <family val="2"/>
      </rPr>
      <t>2</t>
    </r>
    <r>
      <rPr>
        <sz val="11"/>
        <color theme="0"/>
        <rFont val="Trebuchet MS"/>
        <family val="2"/>
      </rPr>
      <t>O</t>
    </r>
  </si>
  <si>
    <r>
      <rPr>
        <sz val="11"/>
        <color theme="0"/>
        <rFont val="Trebuchet MS"/>
        <family val="2"/>
      </rPr>
      <t>Emisiones de N</t>
    </r>
    <r>
      <rPr>
        <vertAlign val="subscript"/>
        <sz val="11"/>
        <color theme="0"/>
        <rFont val="Trebuchet MS"/>
        <family val="2"/>
      </rPr>
      <t>2</t>
    </r>
    <r>
      <rPr>
        <sz val="11"/>
        <color theme="0"/>
        <rFont val="Trebuchet MS"/>
        <family val="2"/>
      </rPr>
      <t>O</t>
    </r>
  </si>
  <si>
    <t>FACTRO DE EMISION CO2eq e TOTAL</t>
  </si>
  <si>
    <t>Datos IPCC 2006 (kg CH4/cabeza*año)</t>
  </si>
  <si>
    <t>Datos calculados a partir de IPCC 2006 (Nivel 2 con datos por defecto)  kg CH4/cabeza*año</t>
  </si>
  <si>
    <t>Manejo de Estiércol</t>
  </si>
  <si>
    <t>Factor Emisión CH4 (kg CO2eq/unidad)</t>
  </si>
  <si>
    <t>Factor Emisión N2O (kg CO2eq/unidad)</t>
  </si>
  <si>
    <t>Índice</t>
  </si>
  <si>
    <t>TAM</t>
  </si>
  <si>
    <t>Pastura/prado</t>
  </si>
  <si>
    <t>Distribución diaria</t>
  </si>
  <si>
    <t>Almacenamiento solido</t>
  </si>
  <si>
    <t>Corral engorde</t>
  </si>
  <si>
    <t>Liquido/fango</t>
  </si>
  <si>
    <t>Lagunas anaeróbicas</t>
  </si>
  <si>
    <t>Almacenamiento en pozos y camas profundas &lt; 1 mes</t>
  </si>
  <si>
    <t>Almacenamiento en pozos y camas profundas &gt; 1 mes</t>
  </si>
  <si>
    <t>Digestor Anaeróbico</t>
  </si>
  <si>
    <t>Quemado para combustible</t>
  </si>
  <si>
    <t>Compostaje en Tambor y pilas estáticas</t>
  </si>
  <si>
    <t>Compostaje pilas con volteo intensivo o regular</t>
  </si>
  <si>
    <t>Camas de aves de corral con hojarasca</t>
  </si>
  <si>
    <t>Tratamientos aeróbicos</t>
  </si>
  <si>
    <t>Disposición como solido en pasturas o prados</t>
  </si>
  <si>
    <t xml:space="preserve">Disposición en sistemas de base liquida (incluidas lagunas anaeróbicas) </t>
  </si>
  <si>
    <t>Disposición en sistemas liquido/fango</t>
  </si>
  <si>
    <t>Incertidumbre FE (+/- %)</t>
  </si>
  <si>
    <t>Vs</t>
  </si>
  <si>
    <t>Bo</t>
  </si>
  <si>
    <t>Ganado Lechero - Clima Frío</t>
  </si>
  <si>
    <t>Cabeza</t>
  </si>
  <si>
    <r>
      <rPr>
        <sz val="10"/>
        <rFont val="Trebuchet MS"/>
        <family val="2"/>
      </rPr>
      <t>kgN</t>
    </r>
    <r>
      <rPr>
        <vertAlign val="subscript"/>
        <sz val="11"/>
        <rFont val="Trebuchet MS"/>
        <family val="2"/>
      </rPr>
      <t>2</t>
    </r>
    <r>
      <rPr>
        <sz val="11"/>
        <rFont val="Trebuchet MS"/>
        <family val="2"/>
      </rPr>
      <t>O/cabeza</t>
    </r>
  </si>
  <si>
    <t>Ganado No Lechero - Clima Frío</t>
  </si>
  <si>
    <t>Ganado Lechero - Clima Templado</t>
  </si>
  <si>
    <t>Ganado No Lechero - Clima Templado</t>
  </si>
  <si>
    <t>kgCO2eq e/Cabeza</t>
  </si>
  <si>
    <t>Ganado Lechero - Clima Cálido</t>
  </si>
  <si>
    <t>Ganado No Lechero - Clima Cálido</t>
  </si>
  <si>
    <t>Aves de Corral - Clima Frío</t>
  </si>
  <si>
    <t>Ave</t>
  </si>
  <si>
    <t>Aves de Corral - Clima Templado</t>
  </si>
  <si>
    <t>kgCO2eq e/Ave</t>
  </si>
  <si>
    <t>Aves de Corral - Clima Cálido</t>
  </si>
  <si>
    <t>Ovejas - Clima Frío</t>
  </si>
  <si>
    <t>Ovejas - Clima Templado</t>
  </si>
  <si>
    <t>Ovejas - Clima Cálido</t>
  </si>
  <si>
    <t>Porcinos de carne - Clima Frío</t>
  </si>
  <si>
    <t>Cerdos Almacenamiento Sólido y Parcelas Secas - Clima Frío</t>
  </si>
  <si>
    <t>Porcinos de carne - Clima Templado</t>
  </si>
  <si>
    <t>Cerdos Almacenamiento Sólido y Parcelas Secas - Clima Templado</t>
  </si>
  <si>
    <t>Porcinos de carne - Clima Cálido</t>
  </si>
  <si>
    <t>Cerdos Almacenamiento Sólido y Parcelas Secas - Clima Cálido</t>
  </si>
  <si>
    <t>Porcinos de Cría - Clima Frío</t>
  </si>
  <si>
    <t>Cerdos Otros Sistemas de Manejo del Estiércol - Clima Frío</t>
  </si>
  <si>
    <t>Porcinos de Cría - Clima Templado</t>
  </si>
  <si>
    <t>Cerdos Otros Sistemas de Manejo del Estiércol - Clima Templado</t>
  </si>
  <si>
    <t>Porcinos de Cría - Clima Cálido</t>
  </si>
  <si>
    <t>Cerdos Otros Sistemas de Manejo del Estiércol - Clima Cálido</t>
  </si>
  <si>
    <t>Búfalos - Clima Frío</t>
  </si>
  <si>
    <t>Búfalos - Clima Templado</t>
  </si>
  <si>
    <t>Búfalos - Clima Cálido</t>
  </si>
  <si>
    <t>Cabras - Clima Frío</t>
  </si>
  <si>
    <t>Cabras - Clima Templado</t>
  </si>
  <si>
    <t>Cabras - Clima Cálido</t>
  </si>
  <si>
    <t>Caballos - Clima Frío</t>
  </si>
  <si>
    <t>Caballos - Clima Templado</t>
  </si>
  <si>
    <t>Caballos - Clima Cálido</t>
  </si>
  <si>
    <t>Mulas y Asnos - Clima Frío</t>
  </si>
  <si>
    <t>Mulas y Asnos - Clima Templado</t>
  </si>
  <si>
    <t>Mulas y Asnos - Clima Cálido</t>
  </si>
  <si>
    <t>Conejos - Clima Frío</t>
  </si>
  <si>
    <t>Conejos - Clima Templado</t>
  </si>
  <si>
    <t>kgCO2eq e/kg</t>
  </si>
  <si>
    <t>Cant.</t>
  </si>
  <si>
    <t>fracc oxidada</t>
  </si>
  <si>
    <t>C</t>
  </si>
  <si>
    <t>FE</t>
  </si>
  <si>
    <t>FE total</t>
  </si>
  <si>
    <t>Conejos - Clima Cálido</t>
  </si>
  <si>
    <t>Residuos Agrícolas</t>
  </si>
  <si>
    <t>Avestruces - Clima Frío</t>
  </si>
  <si>
    <t>Factor Emisión N2O (kg CO2eq/kg)</t>
  </si>
  <si>
    <t>Avestruces - Clima Templado</t>
  </si>
  <si>
    <t>Avestruces - Clima Cálido</t>
  </si>
  <si>
    <t>Compostaje de materia orgánica (base seca)</t>
  </si>
  <si>
    <t xml:space="preserve">kg seco </t>
  </si>
  <si>
    <r>
      <rPr>
        <sz val="10"/>
        <rFont val="Trebuchet MS"/>
        <family val="2"/>
      </rPr>
      <t>kgCH</t>
    </r>
    <r>
      <rPr>
        <vertAlign val="subscript"/>
        <sz val="11"/>
        <rFont val="Trebuchet MS"/>
        <family val="2"/>
      </rPr>
      <t>4</t>
    </r>
    <r>
      <rPr>
        <sz val="11"/>
        <rFont val="Trebuchet MS"/>
        <family val="2"/>
      </rPr>
      <t>/kg</t>
    </r>
  </si>
  <si>
    <r>
      <rPr>
        <sz val="10"/>
        <rFont val="Trebuchet MS"/>
        <family val="2"/>
      </rPr>
      <t>kgN</t>
    </r>
    <r>
      <rPr>
        <vertAlign val="subscript"/>
        <sz val="11"/>
        <rFont val="Trebuchet MS"/>
        <family val="2"/>
      </rPr>
      <t>2</t>
    </r>
    <r>
      <rPr>
        <sz val="11"/>
        <rFont val="Trebuchet MS"/>
        <family val="2"/>
      </rPr>
      <t>O/kg</t>
    </r>
  </si>
  <si>
    <t>Compostaje de materia orgánica (base húmeda)</t>
  </si>
  <si>
    <t>Digestión anaeróbica en instalaciones de biogás (base seca)</t>
  </si>
  <si>
    <t>Poder calorífico biogás (TJ/Gg) IPCC 2006</t>
  </si>
  <si>
    <t>Poder calorífico biogás (MJ/m3) FECOC 2016</t>
  </si>
  <si>
    <t>Densidad Calculada del Biogás (kg CH4/m3 CH4)</t>
  </si>
  <si>
    <t>Digestión anaeróbica en instalaciones de biogás  (base húmeda)</t>
  </si>
  <si>
    <t>Fugas de metano en proceso de captura (solamente cuando hay captura de biogás)</t>
  </si>
  <si>
    <r>
      <rPr>
        <sz val="10"/>
        <rFont val="Trebuchet MS"/>
        <family val="2"/>
      </rPr>
      <t>m</t>
    </r>
    <r>
      <rPr>
        <vertAlign val="superscript"/>
        <sz val="10"/>
        <rFont val="Trebuchet MS"/>
        <family val="2"/>
      </rPr>
      <t>3</t>
    </r>
    <r>
      <rPr>
        <sz val="10"/>
        <rFont val="Trebuchet MS"/>
        <family val="2"/>
      </rPr>
      <t xml:space="preserve"> Biogás</t>
    </r>
  </si>
  <si>
    <r>
      <rPr>
        <sz val="10"/>
        <rFont val="Trebuchet MS"/>
        <family val="2"/>
      </rPr>
      <t>kgCH</t>
    </r>
    <r>
      <rPr>
        <vertAlign val="subscript"/>
        <sz val="10"/>
        <rFont val="Trebuchet MS"/>
        <family val="2"/>
      </rPr>
      <t>4</t>
    </r>
    <r>
      <rPr>
        <sz val="10"/>
        <rFont val="Trebuchet MS"/>
        <family val="2"/>
      </rPr>
      <t>/m</t>
    </r>
    <r>
      <rPr>
        <vertAlign val="superscript"/>
        <sz val="10"/>
        <rFont val="Trebuchet MS"/>
        <family val="2"/>
      </rPr>
      <t>3</t>
    </r>
    <r>
      <rPr>
        <sz val="10"/>
        <rFont val="Trebuchet MS"/>
        <family val="2"/>
      </rPr>
      <t xml:space="preserve"> Biogás</t>
    </r>
  </si>
  <si>
    <t>kgN2O/m3 Biogás</t>
  </si>
  <si>
    <t>Quema de Residuos Agrícolas</t>
  </si>
  <si>
    <t>Quema de Residuos Pastizales</t>
  </si>
  <si>
    <t>N-C</t>
  </si>
  <si>
    <t xml:space="preserve">Uso fertilizantes </t>
  </si>
  <si>
    <t>Uso de fertilizantes sintéticos (climas húmedos)</t>
  </si>
  <si>
    <r>
      <rPr>
        <sz val="10"/>
        <rFont val="Trebuchet MS"/>
        <family val="2"/>
      </rPr>
      <t>kg N</t>
    </r>
    <r>
      <rPr>
        <vertAlign val="subscript"/>
        <sz val="10"/>
        <rFont val="Trebuchet MS"/>
        <family val="2"/>
      </rPr>
      <t>2</t>
    </r>
  </si>
  <si>
    <r>
      <rPr>
        <sz val="10"/>
        <rFont val="Trebuchet MS"/>
        <family val="2"/>
      </rPr>
      <t>kgN</t>
    </r>
    <r>
      <rPr>
        <vertAlign val="subscript"/>
        <sz val="11"/>
        <rFont val="Trebuchet MS"/>
        <family val="2"/>
      </rPr>
      <t>2</t>
    </r>
    <r>
      <rPr>
        <sz val="11"/>
        <rFont val="Trebuchet MS"/>
        <family val="2"/>
      </rPr>
      <t>O/kgN</t>
    </r>
    <r>
      <rPr>
        <vertAlign val="subscript"/>
        <sz val="11"/>
        <rFont val="Trebuchet MS"/>
        <family val="2"/>
      </rPr>
      <t>2</t>
    </r>
  </si>
  <si>
    <t>Uso de fertilizantes orgánicos y residuos agrícolas (climas húmedos)</t>
  </si>
  <si>
    <t>Uso de fertilizantes minerales, abonos orgánicos y residuos agrícolas (climas secos)</t>
  </si>
  <si>
    <t>Fertilización directa de vacunos, aves de corral y porcinos (climas húmedos)</t>
  </si>
  <si>
    <t>Fertilización directa de vacunos, aves de corral y porcinos (climas secos)</t>
  </si>
  <si>
    <t>Fertilización directa de ovinos y otros animales</t>
  </si>
  <si>
    <t>Uso de fertilizantes aplicados en arrozales inundados</t>
  </si>
  <si>
    <t>kgCO2eq e/kgN2</t>
  </si>
  <si>
    <t>Caliza cálcica aplicada (CaCO3)</t>
  </si>
  <si>
    <t>kg Cal</t>
  </si>
  <si>
    <t>kgCO2eq/kg cal</t>
  </si>
  <si>
    <t>Cal Dolomita Aplicada (CaMg(CO3)2)</t>
  </si>
  <si>
    <t>Fertilización con Urea (CO(NH2)2)</t>
  </si>
  <si>
    <t>kg urea</t>
  </si>
  <si>
    <t>kgCO2eq/kg urea</t>
  </si>
  <si>
    <t>kg de N</t>
  </si>
  <si>
    <t>KgCO2eq e/kg N</t>
  </si>
  <si>
    <t>fracción volatiza</t>
  </si>
  <si>
    <t>kgN2O/kg N</t>
  </si>
  <si>
    <t>PCG</t>
  </si>
  <si>
    <t>Uso de fertilizantes sintéticos</t>
  </si>
  <si>
    <t>Electricidad</t>
  </si>
  <si>
    <t>KWh</t>
  </si>
  <si>
    <t>kgCO2eq e/KWh</t>
  </si>
  <si>
    <t>SNE</t>
  </si>
  <si>
    <t>No. Datos</t>
  </si>
  <si>
    <t>AR5</t>
  </si>
  <si>
    <t>AR4</t>
  </si>
  <si>
    <t>SR</t>
  </si>
  <si>
    <t>GEI</t>
  </si>
  <si>
    <t>PCG-GWP</t>
  </si>
  <si>
    <t>CO2eq</t>
  </si>
  <si>
    <t>ND</t>
  </si>
  <si>
    <t>NF3</t>
  </si>
  <si>
    <t>CONSULTOR QUE ELABORA EL CÁLCULO:</t>
  </si>
  <si>
    <t>AÑO CALCULADO:</t>
  </si>
  <si>
    <t>REGIONES CLIMÁTICAS</t>
  </si>
  <si>
    <t>Siglas</t>
  </si>
  <si>
    <t>Temperatura media anual                                             (°C)</t>
  </si>
  <si>
    <t>Precipitación media anual                                (mm)</t>
  </si>
  <si>
    <t>Tropical húmeda</t>
  </si>
  <si>
    <t>mayor a 24 °C</t>
  </si>
  <si>
    <t>menor a 2,000</t>
  </si>
  <si>
    <t>Tropical muy húmeda</t>
  </si>
  <si>
    <t>2,000 - 8,000</t>
  </si>
  <si>
    <t>Tropical montano</t>
  </si>
  <si>
    <t>menor a 24 °C</t>
  </si>
  <si>
    <t>1,000 - 8,000</t>
  </si>
  <si>
    <t>Tabla elaborada por el Departamento de Mitigación con base en los valores del diagrama sobre zonas de vida de Holdridge y las regiones climáticas del IPCC-2006</t>
  </si>
  <si>
    <t xml:space="preserve">TABLA PARA FACTOR DE EMISIÓN DE LA BIOMASA AÉREA POR DEFECTO </t>
  </si>
  <si>
    <r>
      <t>ton dm.ha</t>
    </r>
    <r>
      <rPr>
        <vertAlign val="superscript"/>
        <sz val="12"/>
        <color theme="1"/>
        <rFont val="Avenir Next LT Pro"/>
        <family val="2"/>
      </rPr>
      <t>-1</t>
    </r>
  </si>
  <si>
    <t>Tabla elaborada por el Departamento de Mitigación con base en el inventario forestal, de carbono y las Directrices del IPCC de 2006</t>
  </si>
  <si>
    <t>TABLA PARA IDENTIFICAR EL USO INICIAL DE LA TIERRA</t>
  </si>
  <si>
    <t>Uso inicial de la tierra</t>
  </si>
  <si>
    <t>Tierras forestales</t>
  </si>
  <si>
    <t>Tierras de cultivo</t>
  </si>
  <si>
    <t>Tabla elaborada por el Departamento de Mitigación</t>
  </si>
  <si>
    <t>TABLA PARA LA CONVERSIÓN Y EXPANSIÓN DEL VOLUMEN DE LOS BOSQUES A BIOMASA AÉREA</t>
  </si>
  <si>
    <r>
      <t>Rango de volumen (m</t>
    </r>
    <r>
      <rPr>
        <b/>
        <vertAlign val="superscript"/>
        <sz val="12"/>
        <color theme="1"/>
        <rFont val="Avenir Next LT Pro"/>
        <family val="2"/>
      </rPr>
      <t>3</t>
    </r>
    <r>
      <rPr>
        <b/>
        <sz val="12"/>
        <color theme="1"/>
        <rFont val="Avenir Next LT Pro"/>
        <family val="2"/>
      </rPr>
      <t>/ha)</t>
    </r>
  </si>
  <si>
    <r>
      <t>FCEF</t>
    </r>
    <r>
      <rPr>
        <b/>
        <vertAlign val="subscript"/>
        <sz val="12"/>
        <color theme="1"/>
        <rFont val="Avenir Next LT Pro"/>
        <family val="2"/>
      </rPr>
      <t>S</t>
    </r>
  </si>
  <si>
    <t>Especies latifoliadas</t>
  </si>
  <si>
    <t>Coníferas (pino)</t>
  </si>
  <si>
    <t>&lt; 10</t>
  </si>
  <si>
    <t>11 - 20</t>
  </si>
  <si>
    <t>21 - 40</t>
  </si>
  <si>
    <t>41 - 60</t>
  </si>
  <si>
    <t>61 - 80</t>
  </si>
  <si>
    <t>81 - 120</t>
  </si>
  <si>
    <t>121 - 200</t>
  </si>
  <si>
    <t>&gt;200</t>
  </si>
  <si>
    <t>Fuente:  Cuadro 4.5. Cap. 4. Vol. 4. Directrices del IPCC 2006</t>
  </si>
  <si>
    <t>a). Se aplica el factor FCEFS, ya que, los inventarios forestales que se realizan al amparo de los proyectos bajo EIA, se practican en bosques o árboles dispersos en pie, lo cual corresponde a existencia en crecimiento.</t>
  </si>
  <si>
    <t>b). Cuando el volumen corresponda a árboles de especies litifoliadas dispersas, debe aplicarse el factor de 1.5, mientras que para coníferas dispersas 0.76.  La raazón odebecea a que, se estima que el desarrollo promedio para especies latifoliadas dispersas en todo el territorio nacional, se asemeja más a las dimensiones de los árboles de los bosques secundarios dentro del rango de 81 - 120 m3/ha, y la proporción de los árboles dispersos en edad madura es pequeña con respecto al resto de los árboles dispersos).   Además, debido a que estos árboles están aislados, la proporción de la copa con respecto al tronco, es mayor a la de los árboles del bosque secundario o en plantaciones.</t>
  </si>
  <si>
    <t>ALCANCE</t>
  </si>
  <si>
    <t>FUENTES</t>
  </si>
  <si>
    <r>
      <t>EMISIONES CO</t>
    </r>
    <r>
      <rPr>
        <b/>
        <vertAlign val="subscript"/>
        <sz val="12"/>
        <rFont val="Avenir Next LT Pro"/>
        <family val="2"/>
      </rPr>
      <t>2</t>
    </r>
    <r>
      <rPr>
        <b/>
        <sz val="12"/>
        <rFont val="Avenir Next LT Pro"/>
        <family val="2"/>
      </rPr>
      <t xml:space="preserve"> (t CO</t>
    </r>
    <r>
      <rPr>
        <b/>
        <vertAlign val="subscript"/>
        <sz val="12"/>
        <rFont val="Avenir Next LT Pro"/>
        <family val="2"/>
      </rPr>
      <t xml:space="preserve">2 </t>
    </r>
    <r>
      <rPr>
        <b/>
        <sz val="12"/>
        <rFont val="Avenir Next LT Pro"/>
        <family val="2"/>
      </rPr>
      <t>eq)</t>
    </r>
  </si>
  <si>
    <r>
      <t>EMISIONES CH</t>
    </r>
    <r>
      <rPr>
        <b/>
        <vertAlign val="subscript"/>
        <sz val="12"/>
        <rFont val="Avenir Next LT Pro"/>
        <family val="2"/>
      </rPr>
      <t>4</t>
    </r>
    <r>
      <rPr>
        <b/>
        <sz val="12"/>
        <rFont val="Avenir Next LT Pro"/>
        <family val="2"/>
      </rPr>
      <t xml:space="preserve"> (t CO</t>
    </r>
    <r>
      <rPr>
        <b/>
        <vertAlign val="subscript"/>
        <sz val="12"/>
        <rFont val="Avenir Next LT Pro"/>
        <family val="2"/>
      </rPr>
      <t xml:space="preserve">2 </t>
    </r>
    <r>
      <rPr>
        <b/>
        <sz val="12"/>
        <rFont val="Avenir Next LT Pro"/>
        <family val="2"/>
      </rPr>
      <t>eq)</t>
    </r>
  </si>
  <si>
    <r>
      <t>EMISIONES N</t>
    </r>
    <r>
      <rPr>
        <b/>
        <vertAlign val="subscript"/>
        <sz val="12"/>
        <rFont val="Avenir Next LT Pro"/>
        <family val="2"/>
      </rPr>
      <t>2</t>
    </r>
    <r>
      <rPr>
        <b/>
        <sz val="12"/>
        <rFont val="Avenir Next LT Pro"/>
        <family val="2"/>
      </rPr>
      <t>O 
(t CO</t>
    </r>
    <r>
      <rPr>
        <b/>
        <vertAlign val="subscript"/>
        <sz val="12"/>
        <rFont val="Avenir Next LT Pro"/>
        <family val="2"/>
      </rPr>
      <t xml:space="preserve">2 </t>
    </r>
    <r>
      <rPr>
        <b/>
        <sz val="12"/>
        <rFont val="Avenir Next LT Pro"/>
        <family val="2"/>
      </rPr>
      <t>eq)</t>
    </r>
  </si>
  <si>
    <r>
      <t>EMISIONES HFC
(t CO</t>
    </r>
    <r>
      <rPr>
        <b/>
        <vertAlign val="subscript"/>
        <sz val="12"/>
        <rFont val="Avenir Next LT Pro"/>
        <family val="2"/>
      </rPr>
      <t xml:space="preserve">2 </t>
    </r>
    <r>
      <rPr>
        <b/>
        <sz val="12"/>
        <rFont val="Avenir Next LT Pro"/>
        <family val="2"/>
      </rPr>
      <t>eq)</t>
    </r>
  </si>
  <si>
    <r>
      <t>EMISIONES PFC
(t CO</t>
    </r>
    <r>
      <rPr>
        <b/>
        <vertAlign val="subscript"/>
        <sz val="12"/>
        <rFont val="Avenir Next LT Pro"/>
        <family val="2"/>
      </rPr>
      <t xml:space="preserve">2 </t>
    </r>
    <r>
      <rPr>
        <b/>
        <sz val="12"/>
        <rFont val="Avenir Next LT Pro"/>
        <family val="2"/>
      </rPr>
      <t>eq)</t>
    </r>
  </si>
  <si>
    <r>
      <t>EMISIONES SF</t>
    </r>
    <r>
      <rPr>
        <b/>
        <vertAlign val="subscript"/>
        <sz val="12"/>
        <rFont val="Avenir Next LT Pro"/>
        <family val="2"/>
      </rPr>
      <t>6</t>
    </r>
    <r>
      <rPr>
        <b/>
        <sz val="12"/>
        <rFont val="Avenir Next LT Pro"/>
        <family val="2"/>
      </rPr>
      <t xml:space="preserve"> (t CO</t>
    </r>
    <r>
      <rPr>
        <b/>
        <vertAlign val="subscript"/>
        <sz val="12"/>
        <rFont val="Avenir Next LT Pro"/>
        <family val="2"/>
      </rPr>
      <t xml:space="preserve">2 </t>
    </r>
    <r>
      <rPr>
        <b/>
        <sz val="12"/>
        <rFont val="Avenir Next LT Pro"/>
        <family val="2"/>
      </rPr>
      <t>eq)</t>
    </r>
  </si>
  <si>
    <r>
      <t>HUELLA CARBONO TOTAL
(t CO</t>
    </r>
    <r>
      <rPr>
        <b/>
        <vertAlign val="subscript"/>
        <sz val="12"/>
        <rFont val="Avenir Next LT Pro"/>
        <family val="2"/>
      </rPr>
      <t xml:space="preserve">2 </t>
    </r>
    <r>
      <rPr>
        <b/>
        <sz val="12"/>
        <rFont val="Avenir Next LT Pro"/>
        <family val="2"/>
      </rPr>
      <t>eq)</t>
    </r>
  </si>
  <si>
    <t>% DEL TOTAL</t>
  </si>
  <si>
    <t>Emsiones Fugitivas</t>
  </si>
  <si>
    <t>UTCUTS</t>
  </si>
  <si>
    <t>SUBTOTAL</t>
  </si>
  <si>
    <t>Energía Adquirida</t>
  </si>
  <si>
    <t>TOTAL HUELLA CARBONO DEL PROYECTO</t>
  </si>
  <si>
    <t>Emisiones discriminadas por alcance:</t>
  </si>
  <si>
    <t xml:space="preserve">ALCANCE </t>
  </si>
  <si>
    <r>
      <t>CANTIDAD
(t CO</t>
    </r>
    <r>
      <rPr>
        <b/>
        <vertAlign val="subscript"/>
        <sz val="12"/>
        <rFont val="Avenir Next LT Pro"/>
        <family val="2"/>
      </rPr>
      <t>2</t>
    </r>
    <r>
      <rPr>
        <b/>
        <sz val="12"/>
        <rFont val="Avenir Next LT Pro"/>
        <family val="2"/>
      </rPr>
      <t>eq)</t>
    </r>
  </si>
  <si>
    <t>Alcance 1</t>
  </si>
  <si>
    <t>Alcance 2</t>
  </si>
  <si>
    <t>TOTAL HC</t>
  </si>
  <si>
    <t>Emisiones Directas (Alcance 1) discriminadas por GEI:</t>
  </si>
  <si>
    <t xml:space="preserve">GAS EFECTO INVERNADERO (GEI) </t>
  </si>
  <si>
    <t>CANTIDAD GEI
(t GEI)</t>
  </si>
  <si>
    <r>
      <t>EMISIONES ALCANCE 1
(t CO</t>
    </r>
    <r>
      <rPr>
        <b/>
        <vertAlign val="subscript"/>
        <sz val="12"/>
        <rFont val="Avenir Next LT Pro"/>
        <family val="2"/>
      </rPr>
      <t>2</t>
    </r>
    <r>
      <rPr>
        <b/>
        <sz val="12"/>
        <rFont val="Avenir Next LT Pro"/>
        <family val="2"/>
      </rPr>
      <t>eq)</t>
    </r>
  </si>
  <si>
    <t>% DEL ALCANCE 1</t>
  </si>
  <si>
    <r>
      <t>CO</t>
    </r>
    <r>
      <rPr>
        <b/>
        <vertAlign val="subscript"/>
        <sz val="12"/>
        <color theme="1"/>
        <rFont val="Avenir Next LT Pro"/>
        <family val="2"/>
      </rPr>
      <t>2</t>
    </r>
  </si>
  <si>
    <r>
      <t>CH</t>
    </r>
    <r>
      <rPr>
        <b/>
        <vertAlign val="subscript"/>
        <sz val="12"/>
        <color theme="1"/>
        <rFont val="Avenir Next LT Pro"/>
        <family val="2"/>
      </rPr>
      <t>4</t>
    </r>
  </si>
  <si>
    <r>
      <t>N</t>
    </r>
    <r>
      <rPr>
        <b/>
        <vertAlign val="subscript"/>
        <sz val="12"/>
        <color theme="1"/>
        <rFont val="Avenir Next LT Pro"/>
        <family val="2"/>
      </rPr>
      <t>2</t>
    </r>
    <r>
      <rPr>
        <b/>
        <sz val="12"/>
        <color theme="1"/>
        <rFont val="Avenir Next LT Pro"/>
        <family val="2"/>
      </rPr>
      <t>O</t>
    </r>
  </si>
  <si>
    <t>HFC</t>
  </si>
  <si>
    <t>No aplica</t>
  </si>
  <si>
    <t>PFC</t>
  </si>
  <si>
    <r>
      <t>SF</t>
    </r>
    <r>
      <rPr>
        <b/>
        <vertAlign val="subscript"/>
        <sz val="12"/>
        <color theme="1"/>
        <rFont val="Avenir Next LT Pro"/>
        <family val="2"/>
      </rPr>
      <t>6</t>
    </r>
  </si>
  <si>
    <t>Emisiones Totales discriminadas por GEI:</t>
  </si>
  <si>
    <r>
      <t>EMISIONES TOTALES
(t CO</t>
    </r>
    <r>
      <rPr>
        <b/>
        <vertAlign val="subscript"/>
        <sz val="12"/>
        <rFont val="Avenir Next LT Pro"/>
        <family val="2"/>
      </rPr>
      <t>2</t>
    </r>
    <r>
      <rPr>
        <b/>
        <sz val="12"/>
        <rFont val="Avenir Next LT Pro"/>
        <family val="2"/>
      </rPr>
      <t>eq)</t>
    </r>
  </si>
  <si>
    <t xml:space="preserve">TOTAL ALCANCES 1 y 2 </t>
  </si>
  <si>
    <t>CREDITOS:</t>
  </si>
  <si>
    <t>Ministerio de Ambiente de la Republica de Panamá - MiAMBIENTE</t>
  </si>
  <si>
    <t>Milciades Concepción - Ministro de Ambiente</t>
  </si>
  <si>
    <t>Cindy Monge - Viceministra de Ambiente</t>
  </si>
  <si>
    <t>Ligia Castro - Directora Nacional de Cambio Climático</t>
  </si>
  <si>
    <t>Javier Martínez - Jefe encargado del Departamento de Mitigación</t>
  </si>
  <si>
    <t>Coordinación técnica:
Kevin Polo 
Raúl Gutierrez
Colaboradores:
Yoisy Belén Castillo
Isaías Martínez
Mariel Sanjur
Jean Méndez</t>
  </si>
  <si>
    <t>Revision de Modificaciones en Versiones</t>
  </si>
  <si>
    <t>Versión</t>
  </si>
  <si>
    <t>Cambios realizados</t>
  </si>
  <si>
    <t>Versión original</t>
  </si>
  <si>
    <t>Clave desbloqueo:</t>
  </si>
  <si>
    <r>
      <t>BCEF</t>
    </r>
    <r>
      <rPr>
        <b/>
        <vertAlign val="subscript"/>
        <sz val="12"/>
        <rFont val="Avenir Next LT Pro"/>
        <family val="2"/>
      </rPr>
      <t>R</t>
    </r>
  </si>
  <si>
    <t>b). Cuando el volumen corresponda a árboles de especies litifoliadas dispersas, debe aplicarse el factor de 1.5, mientras que para coníferas dispersas 0.76.  La razón odebecea a que, se estima que el desarrollo promedio para especies latifoliadas dispersas en todo el territorio nacional, se asemeja más a las dimensiones de los árboles de los bosques secundarios dentro del rango de 81 - 120 m3/ha, y la proporción de los árboles dispersos en edad madura es pequeña con respecto al resto de los árboles dispersos).   Además, debido a que estos árboles están aislados, la proporción de la copa con respecto al tronco, es mayor a la de los árboles del bosque secundario o en plantaciones.</t>
  </si>
  <si>
    <t>CALCULO FACTOR DE EMISIÓN - MANEJO DE ESTIERCOL</t>
  </si>
  <si>
    <r>
      <rPr>
        <b/>
        <sz val="11"/>
        <color theme="1"/>
        <rFont val="Calibri"/>
        <family val="2"/>
        <scheme val="minor"/>
      </rPr>
      <t>CH</t>
    </r>
    <r>
      <rPr>
        <b/>
        <vertAlign val="subscript"/>
        <sz val="11"/>
        <color theme="1"/>
        <rFont val="Calibri"/>
        <family val="2"/>
        <scheme val="minor"/>
      </rPr>
      <t>4</t>
    </r>
  </si>
  <si>
    <r>
      <rPr>
        <b/>
        <sz val="11"/>
        <color theme="1"/>
        <rFont val="Calibri"/>
        <family val="2"/>
        <scheme val="minor"/>
      </rPr>
      <t>N</t>
    </r>
    <r>
      <rPr>
        <b/>
        <vertAlign val="subscript"/>
        <sz val="11"/>
        <color theme="1"/>
        <rFont val="Calibri"/>
        <family val="2"/>
        <scheme val="minor"/>
      </rPr>
      <t>2</t>
    </r>
    <r>
      <rPr>
        <b/>
        <sz val="11"/>
        <color theme="1"/>
        <rFont val="Calibri"/>
        <family val="2"/>
        <scheme val="minor"/>
      </rPr>
      <t>O</t>
    </r>
  </si>
  <si>
    <t>ExF</t>
  </si>
  <si>
    <t>GxHx44/28</t>
  </si>
  <si>
    <r>
      <rPr>
        <sz val="11"/>
        <color theme="1"/>
        <rFont val="Calibri"/>
        <family val="2"/>
        <scheme val="minor"/>
      </rPr>
      <t>FACTOR  DE EMISIÓN CH</t>
    </r>
    <r>
      <rPr>
        <vertAlign val="subscript"/>
        <sz val="11"/>
        <color theme="1"/>
        <rFont val="Calibri"/>
        <family val="2"/>
        <scheme val="minor"/>
      </rPr>
      <t>4</t>
    </r>
  </si>
  <si>
    <r>
      <rPr>
        <sz val="11"/>
        <color theme="1"/>
        <rFont val="Calibri"/>
        <family val="2"/>
        <scheme val="minor"/>
      </rPr>
      <t>FACTOR EMISIÓN CO</t>
    </r>
    <r>
      <rPr>
        <vertAlign val="subscript"/>
        <sz val="11"/>
        <color theme="1"/>
        <rFont val="Calibri"/>
        <family val="2"/>
        <scheme val="minor"/>
      </rPr>
      <t>2</t>
    </r>
    <r>
      <rPr>
        <sz val="11"/>
        <color theme="1"/>
        <rFont val="Calibri"/>
        <family val="2"/>
        <scheme val="minor"/>
      </rPr>
      <t xml:space="preserve"> e</t>
    </r>
  </si>
  <si>
    <r>
      <rPr>
        <sz val="11"/>
        <color theme="1"/>
        <rFont val="Calibri"/>
        <family val="2"/>
        <scheme val="minor"/>
      </rPr>
      <t>Factor de Emisión N</t>
    </r>
    <r>
      <rPr>
        <vertAlign val="subscript"/>
        <sz val="11"/>
        <color theme="1"/>
        <rFont val="Calibri"/>
        <family val="2"/>
        <scheme val="minor"/>
      </rPr>
      <t>2</t>
    </r>
    <r>
      <rPr>
        <sz val="11"/>
        <color theme="1"/>
        <rFont val="Calibri"/>
        <family val="2"/>
        <scheme val="minor"/>
      </rPr>
      <t>O</t>
    </r>
  </si>
  <si>
    <r>
      <rPr>
        <sz val="11"/>
        <color theme="1"/>
        <rFont val="Calibri"/>
        <family val="2"/>
        <scheme val="minor"/>
      </rPr>
      <t>Emisiones de N</t>
    </r>
    <r>
      <rPr>
        <vertAlign val="subscript"/>
        <sz val="11"/>
        <color theme="1"/>
        <rFont val="Calibri"/>
        <family val="2"/>
        <scheme val="minor"/>
      </rPr>
      <t>2</t>
    </r>
    <r>
      <rPr>
        <sz val="11"/>
        <color theme="1"/>
        <rFont val="Calibri"/>
        <family val="2"/>
        <scheme val="minor"/>
      </rPr>
      <t>O</t>
    </r>
  </si>
  <si>
    <r>
      <rPr>
        <sz val="11"/>
        <color theme="1"/>
        <rFont val="Calibri"/>
        <family val="2"/>
        <scheme val="minor"/>
      </rPr>
      <t>FACTRO DE EMISION CO</t>
    </r>
    <r>
      <rPr>
        <vertAlign val="subscript"/>
        <sz val="11"/>
        <color theme="1"/>
        <rFont val="Calibri"/>
        <family val="2"/>
        <scheme val="minor"/>
      </rPr>
      <t>2</t>
    </r>
    <r>
      <rPr>
        <sz val="11"/>
        <color theme="1"/>
        <rFont val="Calibri"/>
        <family val="2"/>
        <scheme val="minor"/>
      </rPr>
      <t xml:space="preserve"> e TOTAL</t>
    </r>
  </si>
  <si>
    <t>Ovejas - Clima Tempaldo</t>
  </si>
  <si>
    <t>Cerdos Almacenamiento Sólido y Parcelas Secas - Clima Tempaldo</t>
  </si>
  <si>
    <t>Cerdos Otros Sistemas de Manejo del Estiercol - Clima Frío</t>
  </si>
  <si>
    <t>Cerdos Otros Sistemas de Manejo del Estiercol - Clima Tempaldo</t>
  </si>
  <si>
    <t>Cerdos Otros Sistemas de Manejo del Estiercol - Clima Cálido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</si>
</sst>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quot;$&quot;* #,##0.00_-;\-&quot;$&quot;* #,##0.00_-;_-&quot;$&quot;* &quot;-&quot;??_-;_-@_-"/>
    <numFmt numFmtId="165" formatCode="0.00000000"/>
    <numFmt numFmtId="166" formatCode="0.0000000"/>
    <numFmt numFmtId="167" formatCode="0.000"/>
    <numFmt numFmtId="168" formatCode="0.000000"/>
    <numFmt numFmtId="169" formatCode="0.0000"/>
    <numFmt numFmtId="170" formatCode="&quot;+/- &quot;0.0%"/>
    <numFmt numFmtId="171" formatCode="_(* #,##0.0_);_(* \(#,##0.0\);_(* &quot;-&quot;??_);_(@_)"/>
    <numFmt numFmtId="172" formatCode="0.00000"/>
    <numFmt numFmtId="173" formatCode="_(&quot;$&quot;* #,##0_);_(&quot;$&quot;* \(#,##0\);_(&quot;$&quot;* &quot;-&quot;_);_(@_)"/>
    <numFmt numFmtId="174" formatCode="_ [$€-2]\ * #,##0.00_ ;_ [$€-2]\ * \-#,##0.00_ ;_ [$€-2]\ * &quot;-&quot;??_ "/>
    <numFmt numFmtId="175" formatCode="_(* #,##0.00_);_(* \(#,##0.00\);_(* &quot;-&quot;??_);_(@_)"/>
    <numFmt numFmtId="176" formatCode="0.0"/>
    <numFmt numFmtId="177" formatCode="0.0000000000"/>
    <numFmt numFmtId="178" formatCode="#,##0.0"/>
  </numFmts>
  <fonts count="104">
    <font>
      <sz val="11"/>
      <color theme="1"/>
      <name val="Calibri"/>
      <charset val="134"/>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2"/>
      <color theme="1"/>
      <name val="Avenir Next LT Pro"/>
      <family val="2"/>
    </font>
    <font>
      <sz val="12"/>
      <color theme="0"/>
      <name val="Avenir Next LT Pro"/>
      <family val="2"/>
    </font>
    <font>
      <sz val="12"/>
      <name val="Calibri"/>
      <family val="2"/>
      <scheme val="minor"/>
    </font>
    <font>
      <sz val="11"/>
      <color theme="1"/>
      <name val="Trebuchet MS"/>
      <family val="2"/>
    </font>
    <font>
      <sz val="11"/>
      <name val="Trebuchet MS"/>
      <family val="2"/>
    </font>
    <font>
      <sz val="11"/>
      <color theme="0"/>
      <name val="Trebuchet MS"/>
      <family val="2"/>
    </font>
    <font>
      <sz val="11"/>
      <color rgb="FFFF0000"/>
      <name val="Trebuchet MS"/>
      <family val="2"/>
    </font>
    <font>
      <sz val="11"/>
      <color theme="1"/>
      <name val="Avenir Next LT Pro"/>
      <family val="2"/>
    </font>
    <font>
      <b/>
      <sz val="11"/>
      <color theme="1"/>
      <name val="Avenir Next LT Pro"/>
      <family val="2"/>
    </font>
    <font>
      <b/>
      <sz val="11"/>
      <name val="Trebuchet MS"/>
      <family val="2"/>
    </font>
    <font>
      <sz val="11"/>
      <color theme="0" tint="-0.34998626667073579"/>
      <name val="Trebuchet MS"/>
      <family val="2"/>
    </font>
    <font>
      <sz val="10"/>
      <color theme="0"/>
      <name val="Trebuchet MS"/>
      <family val="2"/>
    </font>
    <font>
      <b/>
      <sz val="10"/>
      <name val="Trebuchet MS"/>
      <family val="2"/>
    </font>
    <font>
      <sz val="10"/>
      <name val="Trebuchet MS"/>
      <family val="2"/>
    </font>
    <font>
      <sz val="10"/>
      <color rgb="FFFF0000"/>
      <name val="Trebuchet MS"/>
      <family val="2"/>
    </font>
    <font>
      <u/>
      <sz val="11"/>
      <name val="Trebuchet MS"/>
      <family val="2"/>
    </font>
    <font>
      <b/>
      <sz val="11"/>
      <color theme="0"/>
      <name val="Trebuchet MS"/>
      <family val="2"/>
    </font>
    <font>
      <b/>
      <sz val="11"/>
      <color rgb="FFFF0000"/>
      <name val="Trebuchet MS"/>
      <family val="2"/>
    </font>
    <font>
      <sz val="11"/>
      <color theme="3"/>
      <name val="Trebuchet MS"/>
      <family val="2"/>
    </font>
    <font>
      <b/>
      <sz val="11"/>
      <color theme="3"/>
      <name val="Trebuchet MS"/>
      <family val="2"/>
    </font>
    <font>
      <b/>
      <sz val="11"/>
      <color rgb="FF00B050"/>
      <name val="Trebuchet MS"/>
      <family val="2"/>
    </font>
    <font>
      <sz val="11"/>
      <color rgb="FF00B050"/>
      <name val="Trebuchet MS"/>
      <family val="2"/>
    </font>
    <font>
      <sz val="11"/>
      <color rgb="FF0070C0"/>
      <name val="Trebuchet MS"/>
      <family val="2"/>
    </font>
    <font>
      <b/>
      <sz val="11"/>
      <color rgb="FF0070C0"/>
      <name val="Trebuchet MS"/>
      <family val="2"/>
    </font>
    <font>
      <sz val="12"/>
      <name val="Arial Narrow"/>
      <family val="2"/>
    </font>
    <font>
      <sz val="11"/>
      <color theme="1"/>
      <name val="Calibri"/>
      <family val="2"/>
      <scheme val="minor"/>
    </font>
    <font>
      <sz val="10"/>
      <name val="Arial"/>
      <family val="2"/>
    </font>
    <font>
      <u/>
      <sz val="11"/>
      <color theme="10"/>
      <name val="Calibri"/>
      <family val="2"/>
    </font>
    <font>
      <sz val="11"/>
      <color indexed="8"/>
      <name val="Calibri"/>
      <family val="2"/>
    </font>
    <font>
      <sz val="10"/>
      <name val="Times New Roman"/>
      <family val="1"/>
    </font>
    <font>
      <u/>
      <sz val="10"/>
      <color indexed="12"/>
      <name val="MS Sans Serif"/>
      <charset val="134"/>
    </font>
    <font>
      <sz val="10"/>
      <name val="MS Sans Serif"/>
      <charset val="134"/>
    </font>
    <font>
      <b/>
      <vertAlign val="subscript"/>
      <sz val="11"/>
      <color theme="1"/>
      <name val="Calibri"/>
      <family val="2"/>
      <scheme val="minor"/>
    </font>
    <font>
      <vertAlign val="subscript"/>
      <sz val="11"/>
      <color theme="1"/>
      <name val="Calibri"/>
      <family val="2"/>
      <scheme val="minor"/>
    </font>
    <font>
      <vertAlign val="subscript"/>
      <sz val="10"/>
      <name val="Trebuchet MS"/>
      <family val="2"/>
    </font>
    <font>
      <vertAlign val="superscript"/>
      <sz val="10"/>
      <name val="Trebuchet MS"/>
      <family val="2"/>
    </font>
    <font>
      <vertAlign val="subscript"/>
      <sz val="11"/>
      <name val="Trebuchet MS"/>
      <family val="2"/>
    </font>
    <font>
      <vertAlign val="superscript"/>
      <sz val="11"/>
      <name val="Trebuchet MS"/>
      <family val="2"/>
    </font>
    <font>
      <vertAlign val="subscript"/>
      <sz val="11"/>
      <color theme="0"/>
      <name val="Trebuchet MS"/>
      <family val="2"/>
    </font>
    <font>
      <sz val="9"/>
      <name val="Tahoma"/>
      <family val="2"/>
    </font>
    <font>
      <b/>
      <sz val="9"/>
      <name val="Tahoma"/>
      <family val="2"/>
    </font>
    <font>
      <b/>
      <sz val="20"/>
      <name val="Avenir Next LT Pro"/>
      <family val="2"/>
    </font>
    <font>
      <b/>
      <sz val="11"/>
      <name val="Avenir Next LT Pro"/>
      <family val="2"/>
    </font>
    <font>
      <b/>
      <sz val="10"/>
      <name val="Avenir Next LT Pro"/>
      <family val="2"/>
    </font>
    <font>
      <sz val="10"/>
      <color theme="1"/>
      <name val="Avenir Next LT Pro"/>
      <family val="2"/>
    </font>
    <font>
      <sz val="11"/>
      <name val="Avenir Next LT Pro"/>
      <family val="2"/>
    </font>
    <font>
      <b/>
      <sz val="14"/>
      <color theme="0"/>
      <name val="Avenir Next LT Pro"/>
      <family val="2"/>
    </font>
    <font>
      <b/>
      <sz val="14"/>
      <color theme="1"/>
      <name val="Avenir Next LT Pro"/>
      <family val="2"/>
    </font>
    <font>
      <b/>
      <sz val="12"/>
      <color theme="1"/>
      <name val="Avenir Next LT Pro"/>
      <family val="2"/>
    </font>
    <font>
      <b/>
      <sz val="12"/>
      <color theme="0"/>
      <name val="Avenir Next LT Pro"/>
      <family val="2"/>
    </font>
    <font>
      <u/>
      <sz val="18"/>
      <color theme="10"/>
      <name val="Avenir Next LT Pro"/>
      <family val="2"/>
    </font>
    <font>
      <b/>
      <sz val="9"/>
      <color theme="1"/>
      <name val="Avenir Next LT Pro"/>
      <family val="2"/>
    </font>
    <font>
      <u/>
      <sz val="11"/>
      <color theme="10"/>
      <name val="Avenir Next LT Pro"/>
      <family val="2"/>
    </font>
    <font>
      <b/>
      <sz val="24"/>
      <name val="Avenir Next LT Pro"/>
      <family val="2"/>
    </font>
    <font>
      <b/>
      <sz val="12"/>
      <name val="Avenir Next LT Pro"/>
      <family val="2"/>
    </font>
    <font>
      <b/>
      <vertAlign val="subscript"/>
      <sz val="11"/>
      <name val="Avenir Next LT Pro"/>
      <family val="2"/>
    </font>
    <font>
      <b/>
      <vertAlign val="subscript"/>
      <sz val="10"/>
      <name val="Avenir Next LT Pro"/>
      <family val="2"/>
    </font>
    <font>
      <b/>
      <sz val="16"/>
      <name val="Avenir Next LT Pro"/>
      <family val="2"/>
    </font>
    <font>
      <b/>
      <sz val="18"/>
      <name val="Avenir Next LT Pro"/>
      <family val="2"/>
    </font>
    <font>
      <b/>
      <sz val="16"/>
      <color theme="0"/>
      <name val="Avenir Next LT Pro"/>
      <family val="2"/>
    </font>
    <font>
      <b/>
      <sz val="22"/>
      <name val="Avenir Next LT Pro"/>
      <family val="2"/>
    </font>
    <font>
      <b/>
      <sz val="14"/>
      <name val="Avenir Next LT Pro"/>
      <family val="2"/>
    </font>
    <font>
      <b/>
      <vertAlign val="subscript"/>
      <sz val="12"/>
      <name val="Avenir Next LT Pro"/>
      <family val="2"/>
    </font>
    <font>
      <b/>
      <vertAlign val="subscript"/>
      <sz val="12"/>
      <color theme="1"/>
      <name val="Avenir Next LT Pro"/>
      <family val="2"/>
    </font>
    <font>
      <sz val="12"/>
      <name val="Avenir Next LT Pro"/>
      <family val="2"/>
    </font>
    <font>
      <b/>
      <sz val="12"/>
      <color theme="1"/>
      <name val="Calibri"/>
      <family val="2"/>
      <scheme val="minor"/>
    </font>
    <font>
      <b/>
      <sz val="12"/>
      <name val="Calibri"/>
      <family val="2"/>
      <scheme val="minor"/>
    </font>
    <font>
      <b/>
      <sz val="10"/>
      <color theme="1"/>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b/>
      <sz val="11"/>
      <name val="Calibri"/>
      <family val="2"/>
      <scheme val="minor"/>
    </font>
    <font>
      <sz val="10"/>
      <color theme="1"/>
      <name val="Calibri"/>
      <family val="2"/>
      <scheme val="minor"/>
    </font>
    <font>
      <b/>
      <vertAlign val="superscript"/>
      <sz val="10"/>
      <color theme="1"/>
      <name val="Calibri"/>
      <family val="2"/>
      <scheme val="minor"/>
    </font>
    <font>
      <b/>
      <vertAlign val="superscript"/>
      <sz val="11"/>
      <color theme="1"/>
      <name val="Calibri"/>
      <family val="2"/>
      <scheme val="minor"/>
    </font>
    <font>
      <b/>
      <sz val="10"/>
      <name val="Calibri"/>
      <family val="2"/>
      <scheme val="minor"/>
    </font>
    <font>
      <b/>
      <vertAlign val="superscript"/>
      <sz val="10"/>
      <name val="Calibri"/>
      <family val="2"/>
      <scheme val="minor"/>
    </font>
    <font>
      <b/>
      <sz val="9"/>
      <color indexed="81"/>
      <name val="Tahoma"/>
      <family val="2"/>
    </font>
    <font>
      <sz val="9"/>
      <color indexed="81"/>
      <name val="Tahoma"/>
      <family val="2"/>
    </font>
    <font>
      <sz val="10"/>
      <color indexed="81"/>
      <name val="Tahoma"/>
      <family val="2"/>
    </font>
    <font>
      <i/>
      <sz val="10"/>
      <color indexed="81"/>
      <name val="Tahoma"/>
      <family val="2"/>
    </font>
    <font>
      <b/>
      <sz val="10"/>
      <color indexed="81"/>
      <name val="Tahoma"/>
      <family val="2"/>
    </font>
    <font>
      <sz val="11"/>
      <name val="Calibri 12"/>
    </font>
    <font>
      <sz val="8"/>
      <name val="Calibri"/>
      <family val="2"/>
      <scheme val="minor"/>
    </font>
    <font>
      <b/>
      <sz val="11"/>
      <name val="Calibri 12"/>
    </font>
    <font>
      <b/>
      <vertAlign val="subscript"/>
      <sz val="12"/>
      <name val="Calibri"/>
      <family val="2"/>
      <scheme val="minor"/>
    </font>
    <font>
      <b/>
      <vertAlign val="superscript"/>
      <sz val="12"/>
      <name val="Calibri"/>
      <family val="2"/>
      <scheme val="minor"/>
    </font>
    <font>
      <b/>
      <sz val="12"/>
      <color rgb="FFFF0000"/>
      <name val="Calibri"/>
      <family val="2"/>
      <scheme val="minor"/>
    </font>
    <font>
      <vertAlign val="subscript"/>
      <sz val="11"/>
      <name val="Avenir Next LT Pro"/>
      <family val="2"/>
    </font>
    <font>
      <b/>
      <vertAlign val="superscript"/>
      <sz val="12"/>
      <color theme="1"/>
      <name val="Avenir Next LT Pro"/>
      <family val="2"/>
    </font>
    <font>
      <vertAlign val="superscript"/>
      <sz val="12"/>
      <color theme="1"/>
      <name val="Avenir Next LT Pro"/>
      <family val="2"/>
    </font>
    <font>
      <sz val="12"/>
      <color rgb="FFFF0000"/>
      <name val="Avenir Next LT Pro"/>
      <family val="2"/>
    </font>
    <font>
      <sz val="12"/>
      <color indexed="81"/>
      <name val="Tahoma"/>
      <family val="2"/>
    </font>
    <font>
      <vertAlign val="superscript"/>
      <sz val="11"/>
      <color theme="1"/>
      <name val="Avenir Next LT Pro"/>
      <family val="2"/>
    </font>
    <font>
      <b/>
      <sz val="11"/>
      <color rgb="FF0070C0"/>
      <name val="Avenir Next LT Pro"/>
      <family val="2"/>
    </font>
    <font>
      <b/>
      <sz val="11"/>
      <color rgb="FFFF0000"/>
      <name val="Calibri"/>
      <family val="2"/>
      <scheme val="minor"/>
    </font>
    <font>
      <sz val="10"/>
      <color rgb="FFFF0000"/>
      <name val="Calibri"/>
      <family val="2"/>
      <scheme val="minor"/>
    </font>
    <font>
      <sz val="11"/>
      <color theme="1" tint="0.14999847407452621"/>
      <name val="Avenir Next LT Pro"/>
      <family val="2"/>
    </font>
    <font>
      <b/>
      <sz val="11"/>
      <color theme="1" tint="0.14999847407452621"/>
      <name val="Avenir Next LT Pro"/>
      <family val="2"/>
    </font>
  </fonts>
  <fills count="20">
    <fill>
      <patternFill patternType="none"/>
    </fill>
    <fill>
      <patternFill patternType="gray125"/>
    </fill>
    <fill>
      <patternFill patternType="solid">
        <fgColor theme="0"/>
        <bgColor indexed="64"/>
      </patternFill>
    </fill>
    <fill>
      <patternFill patternType="solid">
        <fgColor rgb="FFDAF0F2"/>
        <bgColor indexed="64"/>
      </patternFill>
    </fill>
    <fill>
      <patternFill patternType="solid">
        <fgColor rgb="FF2FB9CE"/>
        <bgColor indexed="64"/>
      </patternFill>
    </fill>
    <fill>
      <patternFill patternType="solid">
        <fgColor rgb="FFEFECEA"/>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39997558519241921"/>
        <bgColor rgb="FF70AD47"/>
      </patternFill>
    </fill>
    <fill>
      <patternFill patternType="solid">
        <fgColor theme="5" tint="0.39997558519241921"/>
        <bgColor indexed="64"/>
      </patternFill>
    </fill>
    <fill>
      <patternFill patternType="solid">
        <fgColor theme="7" tint="0.79998168889431442"/>
        <bgColor indexed="64"/>
      </patternFill>
    </fill>
    <fill>
      <patternFill patternType="solid">
        <fgColor theme="7" tint="0.39997558519241921"/>
        <bgColor rgb="FF70AD47"/>
      </patternFill>
    </fill>
    <fill>
      <patternFill patternType="solid">
        <fgColor theme="7" tint="0.39997558519241921"/>
        <bgColor indexed="64"/>
      </patternFill>
    </fill>
    <fill>
      <patternFill patternType="solid">
        <fgColor rgb="FFFFFFCC"/>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FFFF"/>
        <bgColor indexed="64"/>
      </patternFill>
    </fill>
    <fill>
      <patternFill patternType="solid">
        <fgColor rgb="FFFFFF00"/>
        <bgColor indexed="64"/>
      </patternFill>
    </fill>
    <fill>
      <patternFill patternType="solid">
        <fgColor theme="0" tint="-0.499984740745262"/>
        <bgColor indexed="64"/>
      </patternFill>
    </fill>
  </fills>
  <borders count="69">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bottom style="thin">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style="medium">
        <color auto="1"/>
      </top>
      <bottom/>
      <diagonal/>
    </border>
    <border>
      <left style="thin">
        <color auto="1"/>
      </left>
      <right/>
      <top style="medium">
        <color auto="1"/>
      </top>
      <bottom/>
      <diagonal/>
    </border>
    <border>
      <left style="medium">
        <color indexed="64"/>
      </left>
      <right style="medium">
        <color indexed="64"/>
      </right>
      <top style="medium">
        <color indexed="64"/>
      </top>
      <bottom style="thin">
        <color auto="1"/>
      </bottom>
      <diagonal/>
    </border>
    <border>
      <left style="thin">
        <color auto="1"/>
      </left>
      <right style="medium">
        <color auto="1"/>
      </right>
      <top/>
      <bottom/>
      <diagonal/>
    </border>
    <border>
      <left/>
      <right style="medium">
        <color auto="1"/>
      </right>
      <top/>
      <bottom style="thin">
        <color auto="1"/>
      </bottom>
      <diagonal/>
    </border>
    <border>
      <left/>
      <right style="medium">
        <color indexed="64"/>
      </right>
      <top style="thin">
        <color auto="1"/>
      </top>
      <bottom/>
      <diagonal/>
    </border>
    <border>
      <left style="thin">
        <color auto="1"/>
      </left>
      <right style="medium">
        <color auto="1"/>
      </right>
      <top style="thin">
        <color auto="1"/>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medium">
        <color auto="1"/>
      </right>
      <top/>
      <bottom style="medium">
        <color auto="1"/>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top/>
      <bottom style="thin">
        <color auto="1"/>
      </bottom>
      <diagonal/>
    </border>
    <border>
      <left style="medium">
        <color auto="1"/>
      </left>
      <right/>
      <top style="thin">
        <color auto="1"/>
      </top>
      <bottom/>
      <diagonal/>
    </border>
    <border>
      <left/>
      <right/>
      <top style="thin">
        <color auto="1"/>
      </top>
      <bottom/>
      <diagonal/>
    </border>
    <border>
      <left/>
      <right/>
      <top/>
      <bottom style="thin">
        <color auto="1"/>
      </bottom>
      <diagonal/>
    </border>
    <border>
      <left style="thin">
        <color indexed="64"/>
      </left>
      <right style="thin">
        <color indexed="64"/>
      </right>
      <top/>
      <bottom style="medium">
        <color indexed="64"/>
      </bottom>
      <diagonal/>
    </border>
  </borders>
  <cellStyleXfs count="28">
    <xf numFmtId="0" fontId="0" fillId="0" borderId="0"/>
    <xf numFmtId="9" fontId="31" fillId="0" borderId="0" applyFont="0" applyFill="0" applyBorder="0" applyAlignment="0" applyProtection="0"/>
    <xf numFmtId="0" fontId="31" fillId="0" borderId="0"/>
    <xf numFmtId="0" fontId="31" fillId="0" borderId="0"/>
    <xf numFmtId="0" fontId="31" fillId="0" borderId="0"/>
    <xf numFmtId="0" fontId="30" fillId="0" borderId="0"/>
    <xf numFmtId="164" fontId="30" fillId="0" borderId="0" applyFont="0" applyFill="0" applyBorder="0" applyAlignment="0" applyProtection="0"/>
    <xf numFmtId="43" fontId="30" fillId="0" borderId="0" applyFont="0" applyFill="0" applyBorder="0" applyAlignment="0" applyProtection="0"/>
    <xf numFmtId="175" fontId="30" fillId="0" borderId="0" applyFont="0" applyFill="0" applyBorder="0" applyAlignment="0" applyProtection="0"/>
    <xf numFmtId="175" fontId="33"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175" fontId="31" fillId="0" borderId="0" applyFont="0" applyFill="0" applyBorder="0" applyAlignment="0" applyProtection="0"/>
    <xf numFmtId="0" fontId="35" fillId="0" borderId="0" applyNumberFormat="0" applyFill="0" applyBorder="0" applyAlignment="0" applyProtection="0"/>
    <xf numFmtId="0" fontId="33" fillId="0" borderId="0"/>
    <xf numFmtId="0" fontId="31" fillId="0" borderId="0"/>
    <xf numFmtId="9" fontId="33" fillId="0" borderId="0" applyFont="0" applyFill="0" applyBorder="0" applyAlignment="0" applyProtection="0"/>
    <xf numFmtId="0" fontId="32" fillId="0" borderId="0" applyNumberFormat="0" applyFill="0" applyBorder="0" applyAlignment="0" applyProtection="0">
      <alignment vertical="top"/>
      <protection locked="0"/>
    </xf>
    <xf numFmtId="9" fontId="30" fillId="0" borderId="0" applyFont="0" applyFill="0" applyBorder="0" applyAlignment="0" applyProtection="0"/>
    <xf numFmtId="0" fontId="36" fillId="0" borderId="0"/>
    <xf numFmtId="173" fontId="34" fillId="0" borderId="0" applyFont="0" applyFill="0" applyBorder="0" applyAlignment="0" applyProtection="0"/>
    <xf numFmtId="174" fontId="31" fillId="0" borderId="0" applyFont="0" applyFill="0" applyBorder="0" applyAlignment="0" applyProtection="0"/>
    <xf numFmtId="0" fontId="31" fillId="0" borderId="0"/>
    <xf numFmtId="175" fontId="30" fillId="0" borderId="0" applyFont="0" applyFill="0" applyBorder="0" applyAlignment="0" applyProtection="0"/>
    <xf numFmtId="0" fontId="34" fillId="0" borderId="0"/>
    <xf numFmtId="0" fontId="31" fillId="0" borderId="0"/>
    <xf numFmtId="0" fontId="2" fillId="0" borderId="0"/>
  </cellStyleXfs>
  <cellXfs count="854">
    <xf numFmtId="0" fontId="0" fillId="0" borderId="0" xfId="0"/>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2" fontId="0" fillId="0" borderId="0" xfId="0" applyNumberFormat="1"/>
    <xf numFmtId="0" fontId="0" fillId="0" borderId="0" xfId="0" applyAlignment="1">
      <alignment vertical="center" wrapText="1"/>
    </xf>
    <xf numFmtId="175" fontId="0" fillId="0" borderId="0" xfId="24" applyFont="1"/>
    <xf numFmtId="171" fontId="0" fillId="0" borderId="0" xfId="0" applyNumberFormat="1"/>
    <xf numFmtId="0" fontId="4" fillId="2" borderId="0" xfId="0" applyFont="1" applyFill="1"/>
    <xf numFmtId="10" fontId="4" fillId="2" borderId="0" xfId="0" applyNumberFormat="1" applyFont="1" applyFill="1"/>
    <xf numFmtId="0" fontId="4" fillId="0" borderId="0" xfId="0" applyFont="1"/>
    <xf numFmtId="0" fontId="5" fillId="2" borderId="0" xfId="0" applyFont="1" applyFill="1"/>
    <xf numFmtId="10" fontId="5" fillId="2" borderId="0" xfId="0" applyNumberFormat="1" applyFont="1" applyFill="1"/>
    <xf numFmtId="0" fontId="6" fillId="2" borderId="0" xfId="0" applyFont="1" applyFill="1"/>
    <xf numFmtId="0" fontId="7" fillId="2" borderId="0" xfId="0" applyFont="1" applyFill="1" applyAlignment="1">
      <alignment horizontal="center" vertical="center"/>
    </xf>
    <xf numFmtId="4" fontId="4" fillId="0" borderId="0" xfId="0" applyNumberFormat="1" applyFont="1"/>
    <xf numFmtId="0" fontId="5" fillId="2" borderId="0" xfId="0" applyFont="1" applyFill="1" applyAlignment="1">
      <alignment horizontal="left"/>
    </xf>
    <xf numFmtId="0" fontId="6" fillId="2" borderId="0" xfId="0" applyFont="1" applyFill="1" applyAlignment="1">
      <alignment horizontal="left"/>
    </xf>
    <xf numFmtId="0" fontId="4" fillId="2" borderId="0" xfId="0" applyFont="1" applyFill="1" applyAlignment="1">
      <alignment horizontal="left"/>
    </xf>
    <xf numFmtId="0" fontId="7" fillId="2" borderId="0" xfId="0" applyFont="1" applyFill="1"/>
    <xf numFmtId="0" fontId="8" fillId="2" borderId="0" xfId="0" applyFont="1" applyFill="1"/>
    <xf numFmtId="0" fontId="9" fillId="2" borderId="0" xfId="0" applyFont="1" applyFill="1" applyAlignment="1">
      <alignment horizontal="center" vertical="center"/>
    </xf>
    <xf numFmtId="0" fontId="9" fillId="2" borderId="0" xfId="0" applyFont="1" applyFill="1" applyAlignment="1">
      <alignment horizontal="center"/>
    </xf>
    <xf numFmtId="0" fontId="10" fillId="2" borderId="0" xfId="0" applyFont="1" applyFill="1" applyAlignment="1">
      <alignment horizontal="center" vertical="center"/>
    </xf>
    <xf numFmtId="10" fontId="10" fillId="2" borderId="0" xfId="0" applyNumberFormat="1" applyFont="1" applyFill="1"/>
    <xf numFmtId="0" fontId="10" fillId="2" borderId="0" xfId="0" applyFont="1" applyFill="1"/>
    <xf numFmtId="0" fontId="12" fillId="2" borderId="0" xfId="0" applyFont="1" applyFill="1"/>
    <xf numFmtId="4" fontId="12" fillId="2" borderId="0" xfId="0" applyNumberFormat="1" applyFont="1" applyFill="1"/>
    <xf numFmtId="0" fontId="8" fillId="0" borderId="0" xfId="0" applyFont="1"/>
    <xf numFmtId="0" fontId="9" fillId="0" borderId="0" xfId="0" applyFont="1"/>
    <xf numFmtId="0" fontId="10" fillId="0" borderId="0" xfId="0" applyFont="1"/>
    <xf numFmtId="0" fontId="11" fillId="0" borderId="0" xfId="0" applyFont="1"/>
    <xf numFmtId="10" fontId="8" fillId="0" borderId="0" xfId="19" applyNumberFormat="1" applyFont="1" applyBorder="1" applyProtection="1"/>
    <xf numFmtId="175" fontId="8" fillId="0" borderId="0" xfId="24" applyFont="1" applyBorder="1" applyAlignment="1" applyProtection="1">
      <alignment horizontal="center"/>
    </xf>
    <xf numFmtId="2" fontId="8" fillId="0" borderId="0" xfId="0" applyNumberFormat="1" applyFont="1"/>
    <xf numFmtId="172" fontId="8" fillId="0" borderId="0" xfId="0" applyNumberFormat="1" applyFont="1"/>
    <xf numFmtId="175" fontId="8" fillId="0" borderId="0" xfId="24" applyFont="1" applyBorder="1" applyAlignment="1" applyProtection="1"/>
    <xf numFmtId="168" fontId="8" fillId="0" borderId="0" xfId="0" applyNumberFormat="1" applyFont="1"/>
    <xf numFmtId="0" fontId="15" fillId="2" borderId="0" xfId="0" applyFont="1" applyFill="1"/>
    <xf numFmtId="0" fontId="9" fillId="0" borderId="0" xfId="0" applyFont="1" applyAlignment="1">
      <alignment horizontal="center"/>
    </xf>
    <xf numFmtId="10" fontId="9" fillId="0" borderId="0" xfId="0" applyNumberFormat="1" applyFont="1" applyAlignment="1">
      <alignment horizontal="center"/>
    </xf>
    <xf numFmtId="0" fontId="9" fillId="0" borderId="0" xfId="0" applyFont="1" applyAlignment="1">
      <alignment horizontal="center" vertical="center"/>
    </xf>
    <xf numFmtId="0" fontId="10" fillId="0" borderId="0" xfId="0" applyFont="1" applyAlignment="1">
      <alignment horizontal="center" vertical="center"/>
    </xf>
    <xf numFmtId="10" fontId="10" fillId="0" borderId="0" xfId="0" applyNumberFormat="1" applyFont="1"/>
    <xf numFmtId="1" fontId="12" fillId="2" borderId="0" xfId="0" applyNumberFormat="1" applyFont="1" applyFill="1"/>
    <xf numFmtId="10" fontId="12" fillId="2" borderId="0" xfId="19" applyNumberFormat="1" applyFont="1" applyFill="1" applyBorder="1" applyProtection="1"/>
    <xf numFmtId="10" fontId="12" fillId="2" borderId="0" xfId="0" applyNumberFormat="1" applyFont="1" applyFill="1"/>
    <xf numFmtId="175" fontId="12" fillId="2" borderId="0" xfId="24" applyFont="1" applyFill="1" applyBorder="1" applyAlignment="1" applyProtection="1">
      <alignment horizontal="center"/>
    </xf>
    <xf numFmtId="2" fontId="12" fillId="2" borderId="0" xfId="0" applyNumberFormat="1" applyFont="1" applyFill="1"/>
    <xf numFmtId="172" fontId="12" fillId="2" borderId="0" xfId="0" applyNumberFormat="1" applyFont="1" applyFill="1"/>
    <xf numFmtId="175" fontId="12" fillId="2" borderId="0" xfId="24" applyFont="1" applyFill="1" applyBorder="1" applyAlignment="1" applyProtection="1"/>
    <xf numFmtId="168" fontId="12" fillId="2" borderId="0" xfId="0" applyNumberFormat="1" applyFont="1" applyFill="1"/>
    <xf numFmtId="0" fontId="9" fillId="2" borderId="0" xfId="0" applyFont="1" applyFill="1"/>
    <xf numFmtId="10" fontId="9" fillId="2" borderId="0" xfId="0" applyNumberFormat="1" applyFont="1" applyFill="1" applyAlignment="1">
      <alignment horizontal="center"/>
    </xf>
    <xf numFmtId="0" fontId="12" fillId="0" borderId="0" xfId="0" applyFont="1"/>
    <xf numFmtId="4" fontId="12" fillId="0" borderId="0" xfId="0" applyNumberFormat="1" applyFont="1"/>
    <xf numFmtId="4" fontId="8" fillId="0" borderId="0" xfId="0" applyNumberFormat="1" applyFont="1"/>
    <xf numFmtId="1" fontId="12" fillId="0" borderId="0" xfId="0" applyNumberFormat="1" applyFont="1"/>
    <xf numFmtId="1" fontId="8" fillId="0" borderId="0" xfId="0" applyNumberFormat="1" applyFont="1"/>
    <xf numFmtId="10" fontId="12" fillId="0" borderId="0" xfId="19" applyNumberFormat="1" applyFont="1" applyBorder="1" applyProtection="1"/>
    <xf numFmtId="10" fontId="12" fillId="0" borderId="0" xfId="0" applyNumberFormat="1" applyFont="1"/>
    <xf numFmtId="175" fontId="12" fillId="0" borderId="0" xfId="24" applyFont="1" applyBorder="1" applyAlignment="1" applyProtection="1">
      <alignment horizontal="center"/>
    </xf>
    <xf numFmtId="10" fontId="8" fillId="0" borderId="0" xfId="0" applyNumberFormat="1" applyFont="1"/>
    <xf numFmtId="2" fontId="12" fillId="0" borderId="0" xfId="0" applyNumberFormat="1" applyFont="1"/>
    <xf numFmtId="172" fontId="12" fillId="0" borderId="0" xfId="0" applyNumberFormat="1" applyFont="1"/>
    <xf numFmtId="175" fontId="12" fillId="0" borderId="0" xfId="24" applyFont="1" applyBorder="1" applyAlignment="1" applyProtection="1"/>
    <xf numFmtId="168" fontId="12" fillId="0" borderId="0" xfId="0" applyNumberFormat="1" applyFont="1"/>
    <xf numFmtId="10" fontId="10" fillId="0" borderId="0" xfId="19" applyNumberFormat="1" applyFont="1" applyBorder="1" applyProtection="1"/>
    <xf numFmtId="175" fontId="10" fillId="0" borderId="0" xfId="24" applyFont="1" applyBorder="1" applyAlignment="1" applyProtection="1">
      <alignment horizontal="center"/>
    </xf>
    <xf numFmtId="0" fontId="10" fillId="0" borderId="0" xfId="0" applyFont="1" applyAlignment="1">
      <alignment vertical="center"/>
    </xf>
    <xf numFmtId="175" fontId="10" fillId="0" borderId="0" xfId="24" applyFont="1" applyBorder="1" applyAlignment="1" applyProtection="1">
      <alignment horizontal="center" vertical="center"/>
    </xf>
    <xf numFmtId="2" fontId="10" fillId="0" borderId="0" xfId="0" applyNumberFormat="1" applyFont="1"/>
    <xf numFmtId="2" fontId="10" fillId="0" borderId="0" xfId="0" applyNumberFormat="1" applyFont="1" applyAlignment="1">
      <alignment vertical="center"/>
    </xf>
    <xf numFmtId="172" fontId="10" fillId="0" borderId="0" xfId="0" applyNumberFormat="1" applyFont="1"/>
    <xf numFmtId="175" fontId="10" fillId="0" borderId="0" xfId="24" applyFont="1" applyBorder="1" applyAlignment="1" applyProtection="1"/>
    <xf numFmtId="172" fontId="10" fillId="0" borderId="0" xfId="0" applyNumberFormat="1" applyFont="1" applyAlignment="1">
      <alignment vertical="center"/>
    </xf>
    <xf numFmtId="175" fontId="10" fillId="0" borderId="0" xfId="24" applyFont="1" applyBorder="1" applyAlignment="1" applyProtection="1">
      <alignment vertical="center"/>
    </xf>
    <xf numFmtId="2" fontId="16" fillId="0" borderId="0" xfId="0" applyNumberFormat="1" applyFont="1" applyAlignment="1">
      <alignment horizontal="center" vertical="center" wrapText="1"/>
    </xf>
    <xf numFmtId="168" fontId="10" fillId="0" borderId="0" xfId="0" applyNumberFormat="1" applyFont="1"/>
    <xf numFmtId="168" fontId="10" fillId="0" borderId="0" xfId="0" applyNumberFormat="1" applyFont="1" applyAlignment="1">
      <alignment vertical="center"/>
    </xf>
    <xf numFmtId="0" fontId="16" fillId="0" borderId="0" xfId="0" applyFont="1" applyAlignment="1">
      <alignment horizontal="center" vertical="center" wrapText="1"/>
    </xf>
    <xf numFmtId="0" fontId="10" fillId="0" borderId="0" xfId="0" applyFont="1" applyAlignment="1">
      <alignment vertical="center" wrapText="1"/>
    </xf>
    <xf numFmtId="0" fontId="9" fillId="0" borderId="0" xfId="0" applyFont="1" applyAlignment="1">
      <alignment horizontal="left" vertical="center"/>
    </xf>
    <xf numFmtId="0" fontId="15" fillId="0" borderId="0" xfId="0" applyFont="1" applyAlignment="1">
      <alignment vertical="center" wrapText="1"/>
    </xf>
    <xf numFmtId="0" fontId="17" fillId="0" borderId="48" xfId="0" applyFont="1" applyBorder="1" applyAlignment="1">
      <alignment vertical="center" wrapText="1"/>
    </xf>
    <xf numFmtId="0" fontId="17" fillId="0" borderId="48" xfId="0" applyFont="1" applyBorder="1" applyAlignment="1">
      <alignment horizontal="center" vertical="center" wrapText="1"/>
    </xf>
    <xf numFmtId="0" fontId="15" fillId="0" borderId="0" xfId="0" applyFont="1" applyAlignment="1">
      <alignment vertical="center"/>
    </xf>
    <xf numFmtId="0" fontId="17" fillId="0" borderId="49" xfId="0" applyFont="1" applyBorder="1" applyAlignment="1">
      <alignment horizontal="center" vertical="center" wrapText="1"/>
    </xf>
    <xf numFmtId="0" fontId="15" fillId="0" borderId="0" xfId="0" applyFont="1" applyAlignment="1">
      <alignment horizontal="left" vertical="center"/>
    </xf>
    <xf numFmtId="0" fontId="18" fillId="0" borderId="11" xfId="0" applyFont="1" applyBorder="1" applyAlignment="1">
      <alignment horizontal="left" vertical="center" wrapText="1"/>
    </xf>
    <xf numFmtId="0" fontId="18" fillId="0" borderId="44" xfId="0" applyFont="1" applyBorder="1" applyAlignment="1">
      <alignment horizontal="center" vertical="center" wrapText="1"/>
    </xf>
    <xf numFmtId="0" fontId="15" fillId="0" borderId="0" xfId="0" applyFont="1"/>
    <xf numFmtId="0" fontId="18" fillId="0" borderId="49" xfId="0" applyFont="1" applyBorder="1" applyAlignment="1">
      <alignment horizontal="left" vertical="center" wrapText="1"/>
    </xf>
    <xf numFmtId="0" fontId="19" fillId="0" borderId="44" xfId="0" applyFont="1" applyBorder="1" applyAlignment="1">
      <alignment horizontal="center" vertical="center" wrapText="1"/>
    </xf>
    <xf numFmtId="0" fontId="18" fillId="0" borderId="24" xfId="0" applyFont="1" applyBorder="1" applyAlignment="1">
      <alignment horizontal="center" vertical="center" wrapText="1"/>
    </xf>
    <xf numFmtId="0" fontId="19" fillId="0" borderId="49" xfId="0" applyFont="1" applyBorder="1" applyAlignment="1">
      <alignment horizontal="center" vertical="center" wrapText="1"/>
    </xf>
    <xf numFmtId="0" fontId="18" fillId="0" borderId="49" xfId="0" applyFont="1" applyBorder="1" applyAlignment="1">
      <alignment horizontal="center" vertical="center" wrapText="1"/>
    </xf>
    <xf numFmtId="10" fontId="18" fillId="0" borderId="44" xfId="0" applyNumberFormat="1" applyFont="1" applyBorder="1" applyAlignment="1">
      <alignment horizontal="center" vertical="center" wrapText="1"/>
    </xf>
    <xf numFmtId="10" fontId="18" fillId="0" borderId="24" xfId="0" applyNumberFormat="1" applyFont="1" applyBorder="1" applyAlignment="1">
      <alignment horizontal="center" vertical="center" wrapText="1"/>
    </xf>
    <xf numFmtId="10" fontId="18" fillId="0" borderId="49" xfId="0" applyNumberFormat="1" applyFont="1" applyBorder="1" applyAlignment="1">
      <alignment horizontal="left" vertical="center" wrapText="1"/>
    </xf>
    <xf numFmtId="0" fontId="14" fillId="0" borderId="0" xfId="0" applyFont="1" applyAlignment="1">
      <alignment horizontal="center" vertical="center"/>
    </xf>
    <xf numFmtId="0" fontId="17" fillId="0" borderId="11" xfId="0" applyFont="1" applyBorder="1" applyAlignment="1">
      <alignment horizontal="center" vertical="center" wrapText="1"/>
    </xf>
    <xf numFmtId="0" fontId="18" fillId="0" borderId="24" xfId="0" applyFont="1" applyBorder="1" applyAlignment="1">
      <alignment horizontal="center" vertical="center"/>
    </xf>
    <xf numFmtId="0" fontId="9" fillId="0" borderId="0" xfId="24" applyNumberFormat="1" applyFont="1" applyFill="1" applyBorder="1" applyAlignment="1" applyProtection="1">
      <alignment horizontal="center" vertical="center"/>
      <protection hidden="1"/>
    </xf>
    <xf numFmtId="0" fontId="18" fillId="0" borderId="24" xfId="0" applyFont="1" applyBorder="1" applyAlignment="1">
      <alignment horizontal="right" vertical="center"/>
    </xf>
    <xf numFmtId="10" fontId="20" fillId="0" borderId="44" xfId="18" applyNumberFormat="1" applyFont="1" applyBorder="1" applyAlignment="1" applyProtection="1">
      <alignment horizontal="center" vertical="center" wrapText="1"/>
    </xf>
    <xf numFmtId="0" fontId="10" fillId="0" borderId="0" xfId="0" applyFont="1" applyAlignment="1">
      <alignment horizontal="center"/>
    </xf>
    <xf numFmtId="10" fontId="10" fillId="0" borderId="0" xfId="0" applyNumberFormat="1" applyFont="1" applyAlignment="1">
      <alignment horizontal="center"/>
    </xf>
    <xf numFmtId="0" fontId="18" fillId="0" borderId="0" xfId="0" applyFont="1" applyAlignment="1">
      <alignment horizontal="left" vertical="center" wrapText="1"/>
    </xf>
    <xf numFmtId="0" fontId="18" fillId="0" borderId="0" xfId="0" applyFont="1" applyAlignment="1">
      <alignment horizontal="center" vertical="center" wrapText="1"/>
    </xf>
    <xf numFmtId="0" fontId="15" fillId="0" borderId="11" xfId="0" applyFont="1" applyBorder="1"/>
    <xf numFmtId="0" fontId="18" fillId="0" borderId="24" xfId="0" applyFont="1" applyBorder="1" applyAlignment="1">
      <alignment horizontal="left" vertical="center" wrapText="1"/>
    </xf>
    <xf numFmtId="10" fontId="18" fillId="0" borderId="0" xfId="0" applyNumberFormat="1" applyFont="1" applyAlignment="1">
      <alignment horizontal="center" vertical="center" wrapText="1"/>
    </xf>
    <xf numFmtId="0" fontId="21" fillId="0" borderId="0" xfId="0" applyFont="1" applyAlignment="1">
      <alignment horizontal="center" vertical="center"/>
    </xf>
    <xf numFmtId="10" fontId="11" fillId="0" borderId="0" xfId="19" applyNumberFormat="1" applyFont="1" applyBorder="1" applyProtection="1"/>
    <xf numFmtId="175" fontId="11" fillId="0" borderId="0" xfId="24" applyFont="1" applyBorder="1" applyAlignment="1" applyProtection="1">
      <alignment horizontal="center"/>
    </xf>
    <xf numFmtId="2" fontId="11" fillId="0" borderId="0" xfId="0" applyNumberFormat="1" applyFont="1"/>
    <xf numFmtId="172" fontId="11" fillId="0" borderId="0" xfId="0" applyNumberFormat="1" applyFont="1"/>
    <xf numFmtId="175" fontId="11" fillId="0" borderId="0" xfId="24" applyFont="1" applyBorder="1" applyAlignment="1" applyProtection="1"/>
    <xf numFmtId="168" fontId="11" fillId="0" borderId="0" xfId="0" applyNumberFormat="1" applyFont="1"/>
    <xf numFmtId="0" fontId="22" fillId="0" borderId="0" xfId="0" applyFont="1"/>
    <xf numFmtId="43" fontId="10" fillId="0" borderId="0" xfId="0" applyNumberFormat="1" applyFont="1"/>
    <xf numFmtId="175" fontId="23" fillId="0" borderId="0" xfId="24" applyFont="1" applyBorder="1" applyAlignment="1" applyProtection="1"/>
    <xf numFmtId="175" fontId="22" fillId="0" borderId="0" xfId="24" applyFont="1" applyBorder="1" applyAlignment="1" applyProtection="1">
      <alignment horizontal="left"/>
    </xf>
    <xf numFmtId="175" fontId="11" fillId="0" borderId="0" xfId="24" applyFont="1" applyBorder="1" applyAlignment="1" applyProtection="1">
      <alignment horizontal="left"/>
    </xf>
    <xf numFmtId="0" fontId="23" fillId="0" borderId="0" xfId="0" applyFont="1"/>
    <xf numFmtId="0" fontId="22" fillId="0" borderId="0" xfId="0" applyFont="1" applyAlignment="1">
      <alignment horizontal="left"/>
    </xf>
    <xf numFmtId="0" fontId="11" fillId="0" borderId="0" xfId="0" applyFont="1" applyAlignment="1">
      <alignment horizontal="left"/>
    </xf>
    <xf numFmtId="172" fontId="23" fillId="0" borderId="0" xfId="0" applyNumberFormat="1" applyFont="1"/>
    <xf numFmtId="2" fontId="23" fillId="0" borderId="0" xfId="0" applyNumberFormat="1" applyFont="1"/>
    <xf numFmtId="10" fontId="23" fillId="0" borderId="0" xfId="0" applyNumberFormat="1" applyFont="1"/>
    <xf numFmtId="175" fontId="24" fillId="0" borderId="0" xfId="24" applyFont="1" applyBorder="1" applyAlignment="1" applyProtection="1"/>
    <xf numFmtId="0" fontId="24" fillId="0" borderId="0" xfId="0" applyFont="1"/>
    <xf numFmtId="2" fontId="24" fillId="0" borderId="0" xfId="0" applyNumberFormat="1" applyFont="1"/>
    <xf numFmtId="168" fontId="23" fillId="0" borderId="0" xfId="0" applyNumberFormat="1" applyFont="1"/>
    <xf numFmtId="168" fontId="18" fillId="0" borderId="49" xfId="0" applyNumberFormat="1" applyFont="1" applyBorder="1" applyAlignment="1">
      <alignment horizontal="center" vertical="center" wrapText="1"/>
    </xf>
    <xf numFmtId="0" fontId="18" fillId="0" borderId="49" xfId="0" applyFont="1" applyBorder="1" applyAlignment="1" applyProtection="1">
      <alignment horizontal="center" vertical="center" wrapText="1"/>
      <protection hidden="1"/>
    </xf>
    <xf numFmtId="0" fontId="11" fillId="0" borderId="0" xfId="0" applyFont="1" applyAlignment="1">
      <alignment horizontal="center"/>
    </xf>
    <xf numFmtId="0" fontId="11" fillId="0" borderId="0" xfId="0" applyFont="1" applyAlignment="1">
      <alignment horizontal="center" vertical="center"/>
    </xf>
    <xf numFmtId="43" fontId="18" fillId="0" borderId="49" xfId="0" applyNumberFormat="1" applyFont="1" applyBorder="1" applyAlignment="1">
      <alignment horizontal="center" vertical="center" wrapText="1"/>
    </xf>
    <xf numFmtId="0" fontId="19" fillId="0" borderId="49" xfId="0" applyFont="1" applyBorder="1" applyAlignment="1">
      <alignment horizontal="left" vertical="center" wrapText="1"/>
    </xf>
    <xf numFmtId="0" fontId="10" fillId="0" borderId="0" xfId="24" applyNumberFormat="1" applyFont="1" applyBorder="1" applyAlignment="1" applyProtection="1">
      <alignment horizontal="center"/>
    </xf>
    <xf numFmtId="0" fontId="25" fillId="0" borderId="0" xfId="0" applyFont="1"/>
    <xf numFmtId="0" fontId="26" fillId="0" borderId="0" xfId="0" applyFont="1"/>
    <xf numFmtId="10" fontId="26" fillId="0" borderId="0" xfId="19" applyNumberFormat="1" applyFont="1" applyBorder="1" applyProtection="1"/>
    <xf numFmtId="10" fontId="25" fillId="0" borderId="0" xfId="19" applyNumberFormat="1" applyFont="1" applyBorder="1" applyProtection="1"/>
    <xf numFmtId="169" fontId="25" fillId="0" borderId="0" xfId="0" applyNumberFormat="1" applyFont="1"/>
    <xf numFmtId="10" fontId="22" fillId="0" borderId="0" xfId="19" applyNumberFormat="1" applyFont="1" applyBorder="1" applyProtection="1"/>
    <xf numFmtId="175" fontId="26" fillId="0" borderId="0" xfId="24" applyFont="1" applyBorder="1" applyAlignment="1" applyProtection="1">
      <alignment horizontal="center"/>
    </xf>
    <xf numFmtId="175" fontId="25" fillId="0" borderId="0" xfId="24" applyFont="1" applyBorder="1" applyAlignment="1" applyProtection="1">
      <alignment horizontal="center"/>
    </xf>
    <xf numFmtId="175" fontId="22" fillId="0" borderId="0" xfId="24" applyFont="1" applyBorder="1" applyAlignment="1" applyProtection="1">
      <alignment horizontal="center"/>
    </xf>
    <xf numFmtId="2" fontId="26" fillId="0" borderId="0" xfId="0" applyNumberFormat="1" applyFont="1"/>
    <xf numFmtId="175" fontId="26" fillId="0" borderId="0" xfId="24" applyFont="1" applyBorder="1" applyAlignment="1" applyProtection="1"/>
    <xf numFmtId="175" fontId="25" fillId="0" borderId="0" xfId="24" applyFont="1" applyBorder="1" applyAlignment="1" applyProtection="1"/>
    <xf numFmtId="175" fontId="22" fillId="0" borderId="0" xfId="24" applyFont="1" applyBorder="1" applyAlignment="1" applyProtection="1"/>
    <xf numFmtId="0" fontId="14" fillId="0" borderId="0" xfId="0" applyFont="1"/>
    <xf numFmtId="169" fontId="26" fillId="0" borderId="0" xfId="0" applyNumberFormat="1" applyFont="1"/>
    <xf numFmtId="175" fontId="27" fillId="0" borderId="0" xfId="24" applyFont="1" applyBorder="1" applyAlignment="1" applyProtection="1"/>
    <xf numFmtId="9" fontId="9" fillId="0" borderId="0" xfId="0" applyNumberFormat="1" applyFont="1"/>
    <xf numFmtId="0" fontId="27" fillId="0" borderId="0" xfId="0" applyFont="1"/>
    <xf numFmtId="0" fontId="28" fillId="0" borderId="0" xfId="0" applyFont="1"/>
    <xf numFmtId="169" fontId="28" fillId="0" borderId="0" xfId="0" applyNumberFormat="1" applyFont="1"/>
    <xf numFmtId="175" fontId="28" fillId="0" borderId="0" xfId="24" applyFont="1" applyBorder="1" applyAlignment="1" applyProtection="1"/>
    <xf numFmtId="169" fontId="10" fillId="0" borderId="0" xfId="0" applyNumberFormat="1" applyFont="1"/>
    <xf numFmtId="0" fontId="29" fillId="0" borderId="49" xfId="0" applyFont="1" applyBorder="1" applyAlignment="1" applyProtection="1">
      <alignment horizontal="center" vertical="center" wrapText="1"/>
      <protection hidden="1"/>
    </xf>
    <xf numFmtId="169" fontId="18" fillId="0" borderId="49" xfId="0" applyNumberFormat="1" applyFont="1" applyBorder="1" applyAlignment="1">
      <alignment horizontal="center" vertical="center" wrapText="1"/>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0" borderId="0" xfId="0" applyFont="1" applyAlignment="1">
      <alignment horizontal="center" vertical="center" wrapText="1"/>
    </xf>
    <xf numFmtId="175" fontId="10" fillId="0" borderId="0" xfId="24" applyFont="1" applyProtection="1"/>
    <xf numFmtId="171" fontId="10" fillId="0" borderId="0" xfId="0" applyNumberFormat="1" applyFont="1"/>
    <xf numFmtId="167" fontId="18" fillId="0" borderId="49" xfId="0" applyNumberFormat="1" applyFont="1" applyBorder="1" applyAlignment="1">
      <alignment horizontal="center" vertical="center" wrapText="1"/>
    </xf>
    <xf numFmtId="0" fontId="17" fillId="0" borderId="11" xfId="0" applyFont="1" applyBorder="1" applyAlignment="1">
      <alignment horizontal="left" vertical="center" wrapText="1"/>
    </xf>
    <xf numFmtId="0" fontId="17" fillId="0" borderId="44" xfId="0" applyFont="1" applyBorder="1" applyAlignment="1">
      <alignment horizontal="left" vertical="center" wrapText="1"/>
    </xf>
    <xf numFmtId="10" fontId="10" fillId="0" borderId="0" xfId="0" applyNumberFormat="1" applyFont="1" applyAlignment="1">
      <alignment horizontal="center" vertical="center"/>
    </xf>
    <xf numFmtId="10" fontId="10" fillId="0" borderId="0" xfId="0" applyNumberFormat="1" applyFont="1" applyAlignment="1">
      <alignment horizontal="right"/>
    </xf>
    <xf numFmtId="2" fontId="10" fillId="0" borderId="0" xfId="0" applyNumberFormat="1" applyFont="1" applyAlignment="1">
      <alignment horizontal="center"/>
    </xf>
    <xf numFmtId="0" fontId="10" fillId="0" borderId="0" xfId="0" applyFont="1" applyAlignment="1">
      <alignment horizontal="right"/>
    </xf>
    <xf numFmtId="0" fontId="51" fillId="2" borderId="0" xfId="0" applyFont="1" applyFill="1" applyAlignment="1">
      <alignment horizontal="center" vertical="center" wrapText="1"/>
    </xf>
    <xf numFmtId="0" fontId="52" fillId="2" borderId="0" xfId="0" applyFont="1" applyFill="1" applyAlignment="1">
      <alignment horizontal="center" vertical="center" wrapText="1"/>
    </xf>
    <xf numFmtId="175" fontId="52" fillId="2" borderId="0" xfId="24" applyFont="1" applyFill="1" applyBorder="1" applyAlignment="1" applyProtection="1">
      <alignment horizontal="center" vertical="center"/>
    </xf>
    <xf numFmtId="10" fontId="52" fillId="2" borderId="0" xfId="0" applyNumberFormat="1" applyFont="1" applyFill="1" applyAlignment="1">
      <alignment horizontal="center" vertical="center" wrapText="1"/>
    </xf>
    <xf numFmtId="2" fontId="52" fillId="2" borderId="0" xfId="0" applyNumberFormat="1" applyFont="1" applyFill="1" applyAlignment="1">
      <alignment horizontal="center" vertical="center" wrapText="1"/>
    </xf>
    <xf numFmtId="172" fontId="51" fillId="2" borderId="0" xfId="0" applyNumberFormat="1" applyFont="1" applyFill="1" applyAlignment="1">
      <alignment horizontal="center" vertical="center" wrapText="1"/>
    </xf>
    <xf numFmtId="168" fontId="52" fillId="2" borderId="0" xfId="0" applyNumberFormat="1" applyFont="1" applyFill="1" applyAlignment="1">
      <alignment horizontal="center" vertical="center" wrapText="1"/>
    </xf>
    <xf numFmtId="4" fontId="53" fillId="2" borderId="0" xfId="0" applyNumberFormat="1" applyFont="1" applyFill="1" applyAlignment="1">
      <alignment vertical="center" wrapText="1"/>
    </xf>
    <xf numFmtId="10" fontId="53" fillId="2" borderId="0" xfId="0" applyNumberFormat="1" applyFont="1" applyFill="1" applyAlignment="1">
      <alignment vertical="center" wrapText="1"/>
    </xf>
    <xf numFmtId="0" fontId="54" fillId="2" borderId="0" xfId="0" applyFont="1" applyFill="1" applyAlignment="1">
      <alignment horizontal="center" vertical="center" wrapText="1"/>
    </xf>
    <xf numFmtId="0" fontId="53" fillId="2" borderId="0" xfId="0" applyFont="1" applyFill="1" applyAlignment="1">
      <alignment horizontal="center" vertical="center" wrapText="1"/>
    </xf>
    <xf numFmtId="175" fontId="53" fillId="2" borderId="0" xfId="24" applyFont="1" applyFill="1" applyBorder="1" applyAlignment="1" applyProtection="1">
      <alignment horizontal="center" vertical="center"/>
    </xf>
    <xf numFmtId="10" fontId="53" fillId="2" borderId="0" xfId="0" applyNumberFormat="1" applyFont="1" applyFill="1" applyAlignment="1">
      <alignment horizontal="center" vertical="center" wrapText="1"/>
    </xf>
    <xf numFmtId="2" fontId="53" fillId="2" borderId="0" xfId="0" applyNumberFormat="1" applyFont="1" applyFill="1" applyAlignment="1">
      <alignment horizontal="center" vertical="center" wrapText="1"/>
    </xf>
    <xf numFmtId="172" fontId="54" fillId="2" borderId="0" xfId="0" applyNumberFormat="1" applyFont="1" applyFill="1" applyAlignment="1">
      <alignment horizontal="center" vertical="center" wrapText="1"/>
    </xf>
    <xf numFmtId="168" fontId="53" fillId="2" borderId="0" xfId="0" applyNumberFormat="1" applyFont="1" applyFill="1" applyAlignment="1">
      <alignment horizontal="center" vertical="center" wrapText="1"/>
    </xf>
    <xf numFmtId="4" fontId="52" fillId="2" borderId="0" xfId="0" applyNumberFormat="1" applyFont="1" applyFill="1" applyAlignment="1">
      <alignment horizontal="center" vertical="center" wrapText="1"/>
    </xf>
    <xf numFmtId="0" fontId="55" fillId="0" borderId="0" xfId="18" applyFont="1" applyFill="1" applyBorder="1" applyAlignment="1" applyProtection="1">
      <alignment vertical="center"/>
    </xf>
    <xf numFmtId="0" fontId="56" fillId="3" borderId="28" xfId="0" applyFont="1" applyFill="1" applyBorder="1" applyAlignment="1">
      <alignment horizontal="left" vertical="center" wrapText="1"/>
    </xf>
    <xf numFmtId="0" fontId="56" fillId="3" borderId="8" xfId="0" applyFont="1" applyFill="1" applyBorder="1" applyAlignment="1">
      <alignment horizontal="left" vertical="center" wrapText="1"/>
    </xf>
    <xf numFmtId="0" fontId="56" fillId="3" borderId="21" xfId="0" applyFont="1" applyFill="1" applyBorder="1" applyAlignment="1">
      <alignment horizontal="left" vertical="center" wrapText="1"/>
    </xf>
    <xf numFmtId="14" fontId="47" fillId="2" borderId="0" xfId="0" applyNumberFormat="1" applyFont="1" applyFill="1" applyAlignment="1">
      <alignment horizontal="left" vertical="center"/>
    </xf>
    <xf numFmtId="175" fontId="47" fillId="2" borderId="0" xfId="24" applyFont="1" applyFill="1" applyBorder="1" applyAlignment="1" applyProtection="1">
      <alignment horizontal="center" vertical="center"/>
    </xf>
    <xf numFmtId="10" fontId="47" fillId="2" borderId="0" xfId="0" applyNumberFormat="1" applyFont="1" applyFill="1" applyAlignment="1">
      <alignment horizontal="left" vertical="center"/>
    </xf>
    <xf numFmtId="2" fontId="47" fillId="2" borderId="0" xfId="0" applyNumberFormat="1" applyFont="1" applyFill="1" applyAlignment="1">
      <alignment horizontal="left" vertical="center"/>
    </xf>
    <xf numFmtId="175" fontId="47" fillId="2" borderId="0" xfId="24" applyFont="1" applyFill="1" applyBorder="1" applyAlignment="1" applyProtection="1">
      <alignment horizontal="left" vertical="center"/>
    </xf>
    <xf numFmtId="168" fontId="47" fillId="2" borderId="0" xfId="0" applyNumberFormat="1" applyFont="1" applyFill="1" applyAlignment="1">
      <alignment horizontal="left" vertical="center"/>
    </xf>
    <xf numFmtId="4" fontId="50" fillId="2" borderId="0" xfId="0" applyNumberFormat="1" applyFont="1" applyFill="1" applyAlignment="1">
      <alignment horizontal="center" vertical="center"/>
    </xf>
    <xf numFmtId="10" fontId="50" fillId="2" borderId="0" xfId="0" applyNumberFormat="1" applyFont="1" applyFill="1" applyAlignment="1">
      <alignment horizontal="center" vertical="center"/>
    </xf>
    <xf numFmtId="4" fontId="47" fillId="3" borderId="6" xfId="0" applyNumberFormat="1" applyFont="1" applyFill="1" applyBorder="1" applyAlignment="1">
      <alignment horizontal="center" vertical="center" wrapText="1"/>
    </xf>
    <xf numFmtId="10" fontId="47" fillId="3" borderId="6" xfId="19" applyNumberFormat="1" applyFont="1" applyFill="1" applyBorder="1" applyAlignment="1" applyProtection="1">
      <alignment horizontal="center" vertical="center" wrapText="1"/>
    </xf>
    <xf numFmtId="4" fontId="48" fillId="3" borderId="6" xfId="0" applyNumberFormat="1" applyFont="1" applyFill="1" applyBorder="1" applyAlignment="1">
      <alignment horizontal="center" vertical="center" wrapText="1"/>
    </xf>
    <xf numFmtId="175" fontId="47" fillId="3" borderId="6" xfId="24" applyFont="1" applyFill="1" applyBorder="1" applyAlignment="1" applyProtection="1">
      <alignment horizontal="center" vertical="center" wrapText="1"/>
    </xf>
    <xf numFmtId="2" fontId="47" fillId="3" borderId="6" xfId="0" applyNumberFormat="1" applyFont="1" applyFill="1" applyBorder="1" applyAlignment="1">
      <alignment horizontal="center" vertical="center" wrapText="1"/>
    </xf>
    <xf numFmtId="168" fontId="47" fillId="3" borderId="6" xfId="0" applyNumberFormat="1" applyFont="1" applyFill="1" applyBorder="1" applyAlignment="1">
      <alignment horizontal="center" vertical="center" wrapText="1"/>
    </xf>
    <xf numFmtId="0" fontId="50" fillId="5" borderId="46" xfId="0" applyFont="1" applyFill="1" applyBorder="1" applyAlignment="1">
      <alignment vertical="center" wrapText="1"/>
    </xf>
    <xf numFmtId="4" fontId="50" fillId="2" borderId="6" xfId="0" applyNumberFormat="1" applyFont="1" applyFill="1" applyBorder="1" applyAlignment="1" applyProtection="1">
      <alignment horizontal="center" vertical="center" wrapText="1"/>
      <protection locked="0"/>
    </xf>
    <xf numFmtId="0" fontId="50" fillId="2" borderId="6" xfId="0" applyFont="1" applyFill="1" applyBorder="1" applyAlignment="1" applyProtection="1">
      <alignment horizontal="center" vertical="center" wrapText="1"/>
      <protection locked="0"/>
    </xf>
    <xf numFmtId="43" fontId="50" fillId="5" borderId="6" xfId="0" applyNumberFormat="1" applyFont="1" applyFill="1" applyBorder="1" applyAlignment="1">
      <alignment horizontal="center" vertical="center" wrapText="1"/>
    </xf>
    <xf numFmtId="4" fontId="50" fillId="5" borderId="6" xfId="0" applyNumberFormat="1" applyFont="1" applyFill="1" applyBorder="1" applyAlignment="1">
      <alignment horizontal="center" vertical="center" wrapText="1"/>
    </xf>
    <xf numFmtId="0" fontId="50" fillId="5" borderId="6" xfId="0" applyFont="1" applyFill="1" applyBorder="1" applyAlignment="1">
      <alignment horizontal="center" vertical="center" wrapText="1"/>
    </xf>
    <xf numFmtId="10" fontId="50" fillId="2" borderId="6" xfId="19" applyNumberFormat="1" applyFont="1" applyFill="1" applyBorder="1" applyAlignment="1" applyProtection="1">
      <alignment horizontal="center" vertical="center" wrapText="1"/>
      <protection locked="0"/>
    </xf>
    <xf numFmtId="167" fontId="50" fillId="5" borderId="6" xfId="0" applyNumberFormat="1" applyFont="1" applyFill="1" applyBorder="1" applyAlignment="1">
      <alignment horizontal="center" vertical="center" wrapText="1"/>
    </xf>
    <xf numFmtId="1" fontId="50" fillId="5" borderId="6" xfId="0" applyNumberFormat="1" applyFont="1" applyFill="1" applyBorder="1" applyAlignment="1">
      <alignment horizontal="center" vertical="center" wrapText="1"/>
    </xf>
    <xf numFmtId="168" fontId="50" fillId="5" borderId="6" xfId="0" applyNumberFormat="1" applyFont="1" applyFill="1" applyBorder="1" applyAlignment="1">
      <alignment horizontal="center" vertical="center" wrapText="1"/>
    </xf>
    <xf numFmtId="2" fontId="50" fillId="5" borderId="6" xfId="0" applyNumberFormat="1" applyFont="1" applyFill="1" applyBorder="1" applyAlignment="1">
      <alignment horizontal="center" vertical="center" wrapText="1"/>
    </xf>
    <xf numFmtId="0" fontId="50" fillId="5" borderId="5" xfId="0" applyFont="1" applyFill="1" applyBorder="1" applyAlignment="1">
      <alignment vertical="center" wrapText="1"/>
    </xf>
    <xf numFmtId="172" fontId="50" fillId="5" borderId="6" xfId="0" applyNumberFormat="1" applyFont="1" applyFill="1" applyBorder="1" applyAlignment="1">
      <alignment horizontal="center" vertical="center" wrapText="1"/>
    </xf>
    <xf numFmtId="0" fontId="50" fillId="5" borderId="7" xfId="0" applyFont="1" applyFill="1" applyBorder="1" applyAlignment="1">
      <alignment vertical="center" wrapText="1"/>
    </xf>
    <xf numFmtId="0" fontId="47" fillId="3" borderId="8" xfId="0" applyFont="1" applyFill="1" applyBorder="1" applyAlignment="1">
      <alignment vertical="center"/>
    </xf>
    <xf numFmtId="0" fontId="47" fillId="3" borderId="6" xfId="0" applyFont="1" applyFill="1" applyBorder="1" applyAlignment="1">
      <alignment vertical="center"/>
    </xf>
    <xf numFmtId="0" fontId="47" fillId="3" borderId="6" xfId="0" applyFont="1" applyFill="1" applyBorder="1" applyAlignment="1" applyProtection="1">
      <alignment vertical="center"/>
      <protection locked="0"/>
    </xf>
    <xf numFmtId="10" fontId="47" fillId="3" borderId="6" xfId="19" applyNumberFormat="1" applyFont="1" applyFill="1" applyBorder="1" applyAlignment="1" applyProtection="1">
      <alignment vertical="center"/>
    </xf>
    <xf numFmtId="167" fontId="47" fillId="3" borderId="6" xfId="0" applyNumberFormat="1" applyFont="1" applyFill="1" applyBorder="1" applyAlignment="1">
      <alignment vertical="center"/>
    </xf>
    <xf numFmtId="175" fontId="47" fillId="3" borderId="6" xfId="24" applyFont="1" applyFill="1" applyBorder="1" applyAlignment="1" applyProtection="1">
      <alignment horizontal="center" vertical="center"/>
    </xf>
    <xf numFmtId="2" fontId="47" fillId="3" borderId="6" xfId="0" applyNumberFormat="1" applyFont="1" applyFill="1" applyBorder="1" applyAlignment="1">
      <alignment vertical="center"/>
    </xf>
    <xf numFmtId="4" fontId="47" fillId="3" borderId="6" xfId="0" applyNumberFormat="1" applyFont="1" applyFill="1" applyBorder="1" applyAlignment="1">
      <alignment horizontal="center" vertical="center"/>
    </xf>
    <xf numFmtId="172" fontId="47" fillId="3" borderId="6" xfId="0" applyNumberFormat="1" applyFont="1" applyFill="1" applyBorder="1" applyAlignment="1">
      <alignment vertical="center"/>
    </xf>
    <xf numFmtId="175" fontId="47" fillId="3" borderId="6" xfId="24" applyFont="1" applyFill="1" applyBorder="1" applyAlignment="1" applyProtection="1">
      <alignment vertical="center"/>
    </xf>
    <xf numFmtId="168" fontId="47" fillId="3" borderId="6" xfId="0" applyNumberFormat="1" applyFont="1" applyFill="1" applyBorder="1" applyAlignment="1">
      <alignment vertical="center"/>
    </xf>
    <xf numFmtId="10" fontId="47" fillId="3" borderId="6" xfId="0" applyNumberFormat="1" applyFont="1" applyFill="1" applyBorder="1" applyAlignment="1">
      <alignment horizontal="center" vertical="center"/>
    </xf>
    <xf numFmtId="2" fontId="47" fillId="3" borderId="6" xfId="0" applyNumberFormat="1" applyFont="1" applyFill="1" applyBorder="1" applyAlignment="1">
      <alignment horizontal="center" vertical="center"/>
    </xf>
    <xf numFmtId="0" fontId="50" fillId="0" borderId="6" xfId="0" applyFont="1" applyBorder="1" applyAlignment="1" applyProtection="1">
      <alignment horizontal="center" vertical="center" wrapText="1"/>
      <protection locked="0"/>
    </xf>
    <xf numFmtId="0" fontId="47" fillId="3" borderId="35" xfId="0" applyFont="1" applyFill="1" applyBorder="1" applyAlignment="1">
      <alignment vertical="center"/>
    </xf>
    <xf numFmtId="0" fontId="59" fillId="3" borderId="8" xfId="0" applyFont="1" applyFill="1" applyBorder="1" applyAlignment="1">
      <alignment vertical="center"/>
    </xf>
    <xf numFmtId="0" fontId="59" fillId="3" borderId="35" xfId="0" applyFont="1" applyFill="1" applyBorder="1" applyAlignment="1">
      <alignment vertical="center"/>
    </xf>
    <xf numFmtId="0" fontId="59" fillId="3" borderId="6" xfId="0" applyFont="1" applyFill="1" applyBorder="1" applyAlignment="1">
      <alignment vertical="center" wrapText="1"/>
    </xf>
    <xf numFmtId="0" fontId="59" fillId="3" borderId="6" xfId="0" applyFont="1" applyFill="1" applyBorder="1" applyAlignment="1" applyProtection="1">
      <alignment vertical="center" wrapText="1"/>
      <protection locked="0"/>
    </xf>
    <xf numFmtId="10" fontId="59" fillId="3" borderId="6" xfId="19" applyNumberFormat="1" applyFont="1" applyFill="1" applyBorder="1" applyAlignment="1" applyProtection="1">
      <alignment vertical="center" wrapText="1"/>
    </xf>
    <xf numFmtId="175" fontId="59" fillId="3" borderId="6" xfId="24" applyFont="1" applyFill="1" applyBorder="1" applyAlignment="1" applyProtection="1">
      <alignment horizontal="center" vertical="center"/>
    </xf>
    <xf numFmtId="2" fontId="59" fillId="3" borderId="6" xfId="0" applyNumberFormat="1" applyFont="1" applyFill="1" applyBorder="1" applyAlignment="1">
      <alignment vertical="center" wrapText="1"/>
    </xf>
    <xf numFmtId="4" fontId="59" fillId="3" borderId="6" xfId="0" applyNumberFormat="1" applyFont="1" applyFill="1" applyBorder="1" applyAlignment="1">
      <alignment horizontal="center" vertical="center" wrapText="1"/>
    </xf>
    <xf numFmtId="170" fontId="53" fillId="3" borderId="6" xfId="0" applyNumberFormat="1" applyFont="1" applyFill="1" applyBorder="1" applyAlignment="1">
      <alignment horizontal="center" vertical="center" wrapText="1"/>
    </xf>
    <xf numFmtId="172" fontId="59" fillId="3" borderId="6" xfId="0" applyNumberFormat="1" applyFont="1" applyFill="1" applyBorder="1" applyAlignment="1">
      <alignment vertical="center" wrapText="1"/>
    </xf>
    <xf numFmtId="175" fontId="59" fillId="3" borderId="6" xfId="24" applyFont="1" applyFill="1" applyBorder="1" applyAlignment="1" applyProtection="1">
      <alignment vertical="center"/>
    </xf>
    <xf numFmtId="168" fontId="59" fillId="3" borderId="6" xfId="0" applyNumberFormat="1" applyFont="1" applyFill="1" applyBorder="1" applyAlignment="1">
      <alignment vertical="center" wrapText="1"/>
    </xf>
    <xf numFmtId="10" fontId="59" fillId="3" borderId="6" xfId="0" applyNumberFormat="1" applyFont="1" applyFill="1" applyBorder="1" applyAlignment="1">
      <alignment horizontal="center" vertical="center" wrapText="1"/>
    </xf>
    <xf numFmtId="2" fontId="59" fillId="3" borderId="6" xfId="0" applyNumberFormat="1" applyFont="1" applyFill="1" applyBorder="1" applyAlignment="1">
      <alignment horizontal="center" vertical="center" wrapText="1"/>
    </xf>
    <xf numFmtId="170" fontId="53" fillId="3" borderId="14" xfId="0" applyNumberFormat="1" applyFont="1" applyFill="1" applyBorder="1" applyAlignment="1">
      <alignment horizontal="center" vertical="center" wrapText="1"/>
    </xf>
    <xf numFmtId="0" fontId="59" fillId="2" borderId="34" xfId="0" applyFont="1" applyFill="1" applyBorder="1" applyAlignment="1">
      <alignment vertical="center"/>
    </xf>
    <xf numFmtId="0" fontId="59" fillId="2" borderId="31" xfId="0" applyFont="1" applyFill="1" applyBorder="1" applyAlignment="1">
      <alignment vertical="center"/>
    </xf>
    <xf numFmtId="0" fontId="59" fillId="2" borderId="31" xfId="0" applyFont="1" applyFill="1" applyBorder="1" applyAlignment="1">
      <alignment vertical="center" wrapText="1"/>
    </xf>
    <xf numFmtId="10" fontId="59" fillId="2" borderId="31" xfId="19" applyNumberFormat="1" applyFont="1" applyFill="1" applyBorder="1" applyAlignment="1" applyProtection="1">
      <alignment vertical="center" wrapText="1"/>
    </xf>
    <xf numFmtId="175" fontId="59" fillId="2" borderId="31" xfId="24" applyFont="1" applyFill="1" applyBorder="1" applyAlignment="1" applyProtection="1">
      <alignment horizontal="center" vertical="center"/>
    </xf>
    <xf numFmtId="2" fontId="59" fillId="2" borderId="31" xfId="0" applyNumberFormat="1" applyFont="1" applyFill="1" applyBorder="1" applyAlignment="1">
      <alignment vertical="center" wrapText="1"/>
    </xf>
    <xf numFmtId="4" fontId="59" fillId="2" borderId="31" xfId="0" applyNumberFormat="1" applyFont="1" applyFill="1" applyBorder="1" applyAlignment="1">
      <alignment horizontal="center" vertical="center" wrapText="1"/>
    </xf>
    <xf numFmtId="170" fontId="53" fillId="2" borderId="31" xfId="0" applyNumberFormat="1" applyFont="1" applyFill="1" applyBorder="1" applyAlignment="1">
      <alignment horizontal="center" vertical="center" wrapText="1"/>
    </xf>
    <xf numFmtId="172" fontId="59" fillId="2" borderId="31" xfId="0" applyNumberFormat="1" applyFont="1" applyFill="1" applyBorder="1" applyAlignment="1">
      <alignment vertical="center" wrapText="1"/>
    </xf>
    <xf numFmtId="175" fontId="59" fillId="2" borderId="31" xfId="24" applyFont="1" applyFill="1" applyBorder="1" applyAlignment="1" applyProtection="1">
      <alignment vertical="center"/>
    </xf>
    <xf numFmtId="168" fontId="59" fillId="2" borderId="31" xfId="0" applyNumberFormat="1" applyFont="1" applyFill="1" applyBorder="1" applyAlignment="1">
      <alignment vertical="center" wrapText="1"/>
    </xf>
    <xf numFmtId="10" fontId="59" fillId="2" borderId="31" xfId="0" applyNumberFormat="1" applyFont="1" applyFill="1" applyBorder="1" applyAlignment="1">
      <alignment horizontal="center" vertical="center" wrapText="1"/>
    </xf>
    <xf numFmtId="2" fontId="59" fillId="2" borderId="31" xfId="0" applyNumberFormat="1" applyFont="1" applyFill="1" applyBorder="1" applyAlignment="1">
      <alignment horizontal="center" vertical="center" wrapText="1"/>
    </xf>
    <xf numFmtId="170" fontId="53" fillId="2" borderId="40" xfId="0" applyNumberFormat="1" applyFont="1" applyFill="1" applyBorder="1" applyAlignment="1">
      <alignment horizontal="center" vertical="center" wrapText="1"/>
    </xf>
    <xf numFmtId="166" fontId="50" fillId="5" borderId="6" xfId="0" applyNumberFormat="1" applyFont="1" applyFill="1" applyBorder="1" applyAlignment="1">
      <alignment horizontal="center" vertical="center" wrapText="1"/>
    </xf>
    <xf numFmtId="0" fontId="59" fillId="3" borderId="8" xfId="0" applyFont="1" applyFill="1" applyBorder="1" applyAlignment="1">
      <alignment vertical="center" wrapText="1"/>
    </xf>
    <xf numFmtId="0" fontId="59" fillId="3" borderId="35" xfId="0" applyFont="1" applyFill="1" applyBorder="1" applyAlignment="1">
      <alignment vertical="center" wrapText="1"/>
    </xf>
    <xf numFmtId="0" fontId="50" fillId="5" borderId="5" xfId="0" applyFont="1" applyFill="1" applyBorder="1" applyAlignment="1">
      <alignment vertical="center"/>
    </xf>
    <xf numFmtId="0" fontId="50" fillId="5" borderId="7" xfId="0" applyFont="1" applyFill="1" applyBorder="1" applyAlignment="1">
      <alignment vertical="center"/>
    </xf>
    <xf numFmtId="0" fontId="50" fillId="5" borderId="8" xfId="0" applyFont="1" applyFill="1" applyBorder="1" applyAlignment="1">
      <alignment horizontal="left" vertical="center"/>
    </xf>
    <xf numFmtId="0" fontId="58" fillId="3" borderId="21" xfId="0" applyFont="1" applyFill="1" applyBorder="1" applyAlignment="1">
      <alignment vertical="center"/>
    </xf>
    <xf numFmtId="0" fontId="62" fillId="3" borderId="22" xfId="0" applyFont="1" applyFill="1" applyBorder="1" applyAlignment="1">
      <alignment vertical="center"/>
    </xf>
    <xf numFmtId="10" fontId="62" fillId="3" borderId="22" xfId="19" applyNumberFormat="1" applyFont="1" applyFill="1" applyBorder="1" applyAlignment="1" applyProtection="1">
      <alignment vertical="center"/>
    </xf>
    <xf numFmtId="175" fontId="62" fillId="3" borderId="22" xfId="24" applyFont="1" applyFill="1" applyBorder="1" applyAlignment="1" applyProtection="1">
      <alignment horizontal="center" vertical="center"/>
    </xf>
    <xf numFmtId="2" fontId="62" fillId="3" borderId="22" xfId="0" applyNumberFormat="1" applyFont="1" applyFill="1" applyBorder="1" applyAlignment="1">
      <alignment vertical="center"/>
    </xf>
    <xf numFmtId="4" fontId="59" fillId="3" borderId="22" xfId="0" applyNumberFormat="1" applyFont="1" applyFill="1" applyBorder="1" applyAlignment="1">
      <alignment horizontal="center" vertical="center"/>
    </xf>
    <xf numFmtId="170" fontId="59" fillId="3" borderId="22" xfId="0" applyNumberFormat="1" applyFont="1" applyFill="1" applyBorder="1" applyAlignment="1">
      <alignment horizontal="center" vertical="center" wrapText="1"/>
    </xf>
    <xf numFmtId="172" fontId="62" fillId="3" borderId="22" xfId="0" applyNumberFormat="1" applyFont="1" applyFill="1" applyBorder="1" applyAlignment="1">
      <alignment vertical="center"/>
    </xf>
    <xf numFmtId="175" fontId="62" fillId="3" borderId="22" xfId="24" applyFont="1" applyFill="1" applyBorder="1" applyAlignment="1" applyProtection="1">
      <alignment vertical="center"/>
    </xf>
    <xf numFmtId="168" fontId="62" fillId="3" borderId="22" xfId="0" applyNumberFormat="1" applyFont="1" applyFill="1" applyBorder="1" applyAlignment="1">
      <alignment vertical="center"/>
    </xf>
    <xf numFmtId="10" fontId="62" fillId="3" borderId="22" xfId="0" applyNumberFormat="1" applyFont="1" applyFill="1" applyBorder="1" applyAlignment="1">
      <alignment horizontal="center" vertical="center"/>
    </xf>
    <xf numFmtId="2" fontId="62" fillId="3" borderId="22" xfId="0" applyNumberFormat="1" applyFont="1" applyFill="1" applyBorder="1" applyAlignment="1">
      <alignment horizontal="center" vertical="center"/>
    </xf>
    <xf numFmtId="4" fontId="62" fillId="3" borderId="22" xfId="0" applyNumberFormat="1" applyFont="1" applyFill="1" applyBorder="1" applyAlignment="1">
      <alignment horizontal="center" vertical="center"/>
    </xf>
    <xf numFmtId="170" fontId="63" fillId="3" borderId="27" xfId="0" applyNumberFormat="1" applyFont="1" applyFill="1" applyBorder="1" applyAlignment="1">
      <alignment horizontal="center" vertical="center" wrapText="1"/>
    </xf>
    <xf numFmtId="0" fontId="62" fillId="2" borderId="47" xfId="0" applyFont="1" applyFill="1" applyBorder="1" applyAlignment="1">
      <alignment horizontal="center" vertical="center"/>
    </xf>
    <xf numFmtId="4" fontId="62" fillId="2" borderId="47" xfId="0" applyNumberFormat="1" applyFont="1" applyFill="1" applyBorder="1" applyAlignment="1">
      <alignment horizontal="center" vertical="center"/>
    </xf>
    <xf numFmtId="1" fontId="62" fillId="2" borderId="47" xfId="0" applyNumberFormat="1" applyFont="1" applyFill="1" applyBorder="1" applyAlignment="1">
      <alignment horizontal="center" vertical="center"/>
    </xf>
    <xf numFmtId="10" fontId="62" fillId="2" borderId="47" xfId="19" applyNumberFormat="1" applyFont="1" applyFill="1" applyBorder="1" applyAlignment="1" applyProtection="1">
      <alignment horizontal="center" vertical="center"/>
    </xf>
    <xf numFmtId="10" fontId="62" fillId="2" borderId="47" xfId="0" applyNumberFormat="1" applyFont="1" applyFill="1" applyBorder="1" applyAlignment="1">
      <alignment horizontal="center" vertical="center"/>
    </xf>
    <xf numFmtId="175" fontId="62" fillId="2" borderId="47" xfId="24" applyFont="1" applyFill="1" applyBorder="1" applyAlignment="1" applyProtection="1">
      <alignment horizontal="center" vertical="center"/>
    </xf>
    <xf numFmtId="2" fontId="62" fillId="2" borderId="47" xfId="0" applyNumberFormat="1" applyFont="1" applyFill="1" applyBorder="1" applyAlignment="1">
      <alignment horizontal="center" vertical="center"/>
    </xf>
    <xf numFmtId="172" fontId="62" fillId="2" borderId="47" xfId="0" applyNumberFormat="1" applyFont="1" applyFill="1" applyBorder="1" applyAlignment="1">
      <alignment horizontal="center" vertical="center"/>
    </xf>
    <xf numFmtId="168" fontId="62" fillId="2" borderId="47" xfId="0" applyNumberFormat="1" applyFont="1" applyFill="1" applyBorder="1" applyAlignment="1">
      <alignment horizontal="center" vertical="center"/>
    </xf>
    <xf numFmtId="0" fontId="50" fillId="5" borderId="8" xfId="0" applyFont="1" applyFill="1" applyBorder="1" applyAlignment="1">
      <alignment vertical="center" wrapText="1"/>
    </xf>
    <xf numFmtId="0" fontId="62" fillId="3" borderId="21" xfId="0" applyFont="1" applyFill="1" applyBorder="1" applyAlignment="1">
      <alignment vertical="center"/>
    </xf>
    <xf numFmtId="0" fontId="62" fillId="3" borderId="37" xfId="0" applyFont="1" applyFill="1" applyBorder="1" applyAlignment="1">
      <alignment vertical="center"/>
    </xf>
    <xf numFmtId="2" fontId="59" fillId="3" borderId="22" xfId="0" applyNumberFormat="1" applyFont="1" applyFill="1" applyBorder="1" applyAlignment="1">
      <alignment horizontal="center" vertical="center"/>
    </xf>
    <xf numFmtId="10" fontId="59" fillId="3" borderId="22" xfId="0" applyNumberFormat="1" applyFont="1" applyFill="1" applyBorder="1" applyAlignment="1">
      <alignment horizontal="center" vertical="center"/>
    </xf>
    <xf numFmtId="4" fontId="59" fillId="3" borderId="6" xfId="0" applyNumberFormat="1" applyFont="1" applyFill="1" applyBorder="1" applyAlignment="1">
      <alignment horizontal="center" vertical="center"/>
    </xf>
    <xf numFmtId="0" fontId="59" fillId="3" borderId="22" xfId="0" applyFont="1" applyFill="1" applyBorder="1" applyAlignment="1">
      <alignment vertical="center"/>
    </xf>
    <xf numFmtId="175" fontId="59" fillId="3" borderId="22" xfId="24" applyFont="1" applyFill="1" applyBorder="1" applyAlignment="1" applyProtection="1">
      <alignment vertical="center"/>
    </xf>
    <xf numFmtId="175" fontId="59" fillId="3" borderId="22" xfId="24" applyFont="1" applyFill="1" applyBorder="1" applyAlignment="1" applyProtection="1">
      <alignment horizontal="center" vertical="center"/>
    </xf>
    <xf numFmtId="0" fontId="47" fillId="2" borderId="4" xfId="0" applyFont="1" applyFill="1" applyBorder="1" applyAlignment="1">
      <alignment horizontal="center" vertical="center"/>
    </xf>
    <xf numFmtId="4" fontId="47" fillId="2" borderId="4" xfId="0" applyNumberFormat="1" applyFont="1" applyFill="1" applyBorder="1" applyAlignment="1">
      <alignment horizontal="center" vertical="center"/>
    </xf>
    <xf numFmtId="1" fontId="47" fillId="2" borderId="4" xfId="0" applyNumberFormat="1" applyFont="1" applyFill="1" applyBorder="1" applyAlignment="1">
      <alignment horizontal="center" vertical="center"/>
    </xf>
    <xf numFmtId="10" fontId="47" fillId="2" borderId="4" xfId="19" applyNumberFormat="1" applyFont="1" applyFill="1" applyBorder="1" applyAlignment="1" applyProtection="1">
      <alignment horizontal="center" vertical="center"/>
    </xf>
    <xf numFmtId="10" fontId="47" fillId="2" borderId="4" xfId="0" applyNumberFormat="1" applyFont="1" applyFill="1" applyBorder="1" applyAlignment="1">
      <alignment horizontal="center" vertical="center"/>
    </xf>
    <xf numFmtId="175" fontId="47" fillId="2" borderId="4" xfId="24" applyFont="1" applyFill="1" applyBorder="1" applyAlignment="1" applyProtection="1">
      <alignment horizontal="center" vertical="center"/>
    </xf>
    <xf numFmtId="2" fontId="47" fillId="2" borderId="4" xfId="0" applyNumberFormat="1" applyFont="1" applyFill="1" applyBorder="1" applyAlignment="1">
      <alignment horizontal="center" vertical="center"/>
    </xf>
    <xf numFmtId="172" fontId="47" fillId="2" borderId="4" xfId="0" applyNumberFormat="1" applyFont="1" applyFill="1" applyBorder="1" applyAlignment="1">
      <alignment horizontal="center" vertical="center"/>
    </xf>
    <xf numFmtId="168" fontId="47" fillId="2" borderId="4" xfId="0" applyNumberFormat="1" applyFont="1" applyFill="1" applyBorder="1" applyAlignment="1">
      <alignment horizontal="center" vertical="center"/>
    </xf>
    <xf numFmtId="0" fontId="64" fillId="2" borderId="6" xfId="0" applyFont="1" applyFill="1" applyBorder="1" applyAlignment="1">
      <alignment horizontal="center" vertical="center"/>
    </xf>
    <xf numFmtId="4" fontId="64" fillId="2" borderId="6" xfId="0" applyNumberFormat="1" applyFont="1" applyFill="1" applyBorder="1" applyAlignment="1">
      <alignment horizontal="center" vertical="center"/>
    </xf>
    <xf numFmtId="1" fontId="64" fillId="2" borderId="6" xfId="0" applyNumberFormat="1" applyFont="1" applyFill="1" applyBorder="1" applyAlignment="1">
      <alignment horizontal="center" vertical="center"/>
    </xf>
    <xf numFmtId="10" fontId="64" fillId="2" borderId="6" xfId="19" applyNumberFormat="1" applyFont="1" applyFill="1" applyBorder="1" applyAlignment="1" applyProtection="1">
      <alignment horizontal="center" vertical="center"/>
    </xf>
    <xf numFmtId="10" fontId="64" fillId="2" borderId="6" xfId="0" applyNumberFormat="1" applyFont="1" applyFill="1" applyBorder="1" applyAlignment="1">
      <alignment horizontal="center" vertical="center"/>
    </xf>
    <xf numFmtId="175" fontId="64" fillId="2" borderId="6" xfId="24" applyFont="1" applyFill="1" applyBorder="1" applyAlignment="1" applyProtection="1">
      <alignment horizontal="center" vertical="center"/>
    </xf>
    <xf numFmtId="2" fontId="64" fillId="2" borderId="6" xfId="0" applyNumberFormat="1" applyFont="1" applyFill="1" applyBorder="1" applyAlignment="1">
      <alignment horizontal="center" vertical="center"/>
    </xf>
    <xf numFmtId="172" fontId="64" fillId="2" borderId="6" xfId="0" applyNumberFormat="1" applyFont="1" applyFill="1" applyBorder="1" applyAlignment="1">
      <alignment horizontal="center" vertical="center"/>
    </xf>
    <xf numFmtId="168" fontId="64" fillId="2" borderId="6" xfId="0" applyNumberFormat="1" applyFont="1" applyFill="1" applyBorder="1" applyAlignment="1">
      <alignment horizontal="center" vertical="center"/>
    </xf>
    <xf numFmtId="0" fontId="58" fillId="3" borderId="6" xfId="0" applyFont="1" applyFill="1" applyBorder="1" applyAlignment="1">
      <alignment vertical="center"/>
    </xf>
    <xf numFmtId="0" fontId="63" fillId="3" borderId="6" xfId="0" applyFont="1" applyFill="1" applyBorder="1" applyAlignment="1">
      <alignment vertical="center"/>
    </xf>
    <xf numFmtId="10" fontId="63" fillId="3" borderId="6" xfId="19" applyNumberFormat="1" applyFont="1" applyFill="1" applyBorder="1" applyAlignment="1" applyProtection="1">
      <alignment vertical="center"/>
    </xf>
    <xf numFmtId="175" fontId="63" fillId="3" borderId="6" xfId="24" applyFont="1" applyFill="1" applyBorder="1" applyAlignment="1" applyProtection="1">
      <alignment horizontal="center" vertical="center"/>
    </xf>
    <xf numFmtId="170" fontId="59" fillId="3" borderId="6" xfId="0" applyNumberFormat="1" applyFont="1" applyFill="1" applyBorder="1" applyAlignment="1">
      <alignment horizontal="center" vertical="center" wrapText="1"/>
    </xf>
    <xf numFmtId="175" fontId="63" fillId="3" borderId="6" xfId="24" applyFont="1" applyFill="1" applyBorder="1" applyAlignment="1" applyProtection="1">
      <alignment vertical="center"/>
    </xf>
    <xf numFmtId="2" fontId="63" fillId="3" borderId="6" xfId="0" applyNumberFormat="1" applyFont="1" applyFill="1" applyBorder="1" applyAlignment="1">
      <alignment horizontal="center" vertical="center"/>
    </xf>
    <xf numFmtId="4" fontId="65" fillId="3" borderId="6" xfId="0" applyNumberFormat="1" applyFont="1" applyFill="1" applyBorder="1" applyAlignment="1">
      <alignment horizontal="center" vertical="center"/>
    </xf>
    <xf numFmtId="170" fontId="65" fillId="3" borderId="6" xfId="0" applyNumberFormat="1" applyFont="1" applyFill="1" applyBorder="1" applyAlignment="1">
      <alignment horizontal="center" vertical="center" wrapText="1"/>
    </xf>
    <xf numFmtId="0" fontId="59" fillId="3" borderId="1" xfId="0" applyFont="1" applyFill="1" applyBorder="1" applyAlignment="1">
      <alignment horizontal="center" vertical="center"/>
    </xf>
    <xf numFmtId="0" fontId="59" fillId="3" borderId="2" xfId="0" applyFont="1" applyFill="1" applyBorder="1" applyAlignment="1">
      <alignment horizontal="center" vertical="center"/>
    </xf>
    <xf numFmtId="0" fontId="59" fillId="3" borderId="2" xfId="0" applyFont="1" applyFill="1" applyBorder="1" applyAlignment="1">
      <alignment horizontal="center" vertical="center" wrapText="1"/>
    </xf>
    <xf numFmtId="10" fontId="59" fillId="3" borderId="2" xfId="0" applyNumberFormat="1" applyFont="1" applyFill="1" applyBorder="1" applyAlignment="1">
      <alignment horizontal="center" vertical="center" wrapText="1"/>
    </xf>
    <xf numFmtId="0" fontId="59" fillId="3" borderId="12" xfId="0" applyFont="1" applyFill="1" applyBorder="1" applyAlignment="1">
      <alignment horizontal="center" vertical="center" wrapText="1"/>
    </xf>
    <xf numFmtId="0" fontId="59" fillId="3" borderId="6" xfId="0" applyFont="1" applyFill="1" applyBorder="1" applyAlignment="1">
      <alignment vertical="center"/>
    </xf>
    <xf numFmtId="10" fontId="59" fillId="3" borderId="6" xfId="0" applyNumberFormat="1" applyFont="1" applyFill="1" applyBorder="1" applyAlignment="1">
      <alignment horizontal="center" vertical="center"/>
    </xf>
    <xf numFmtId="4" fontId="59" fillId="3" borderId="2" xfId="0" applyNumberFormat="1" applyFont="1" applyFill="1" applyBorder="1" applyAlignment="1">
      <alignment horizontal="center" vertical="center"/>
    </xf>
    <xf numFmtId="10" fontId="59" fillId="3" borderId="2" xfId="0" applyNumberFormat="1" applyFont="1" applyFill="1" applyBorder="1" applyAlignment="1">
      <alignment horizontal="center" vertical="center"/>
    </xf>
    <xf numFmtId="0" fontId="53" fillId="2" borderId="0" xfId="0" applyFont="1" applyFill="1"/>
    <xf numFmtId="0" fontId="59" fillId="3" borderId="1" xfId="0" applyFont="1" applyFill="1" applyBorder="1" applyAlignment="1">
      <alignment horizontal="center" vertical="center" wrapText="1"/>
    </xf>
    <xf numFmtId="0" fontId="69" fillId="3" borderId="1" xfId="0" applyFont="1" applyFill="1" applyBorder="1" applyAlignment="1">
      <alignment horizontal="center" vertical="center" wrapText="1"/>
    </xf>
    <xf numFmtId="4" fontId="69" fillId="3" borderId="1" xfId="0" applyNumberFormat="1" applyFont="1" applyFill="1" applyBorder="1" applyAlignment="1">
      <alignment horizontal="center" vertical="center" wrapText="1"/>
    </xf>
    <xf numFmtId="4" fontId="53" fillId="0" borderId="7" xfId="0" applyNumberFormat="1" applyFont="1" applyBorder="1" applyAlignment="1">
      <alignment horizontal="center" vertical="center"/>
    </xf>
    <xf numFmtId="2" fontId="59" fillId="3" borderId="1" xfId="0" applyNumberFormat="1" applyFont="1" applyFill="1" applyBorder="1" applyAlignment="1">
      <alignment horizontal="center" vertical="center" wrapText="1"/>
    </xf>
    <xf numFmtId="4" fontId="59" fillId="3" borderId="1" xfId="0" applyNumberFormat="1" applyFont="1" applyFill="1" applyBorder="1" applyAlignment="1">
      <alignment horizontal="center" vertical="center" wrapText="1"/>
    </xf>
    <xf numFmtId="10" fontId="59" fillId="3" borderId="1" xfId="0" applyNumberFormat="1" applyFont="1" applyFill="1" applyBorder="1" applyAlignment="1">
      <alignment horizontal="center" vertical="center" wrapText="1"/>
    </xf>
    <xf numFmtId="0" fontId="62" fillId="3" borderId="15" xfId="0" applyFont="1" applyFill="1" applyBorder="1" applyAlignment="1">
      <alignment horizontal="left" vertical="center"/>
    </xf>
    <xf numFmtId="0" fontId="69" fillId="3" borderId="16" xfId="0" applyFont="1" applyFill="1" applyBorder="1" applyAlignment="1">
      <alignment horizontal="center" vertical="center"/>
    </xf>
    <xf numFmtId="10" fontId="69" fillId="3" borderId="16" xfId="0" applyNumberFormat="1" applyFont="1" applyFill="1" applyBorder="1" applyAlignment="1">
      <alignment horizontal="center" vertical="center"/>
    </xf>
    <xf numFmtId="0" fontId="69" fillId="3" borderId="17" xfId="0" applyFont="1" applyFill="1" applyBorder="1" applyAlignment="1">
      <alignment horizontal="center" vertical="center"/>
    </xf>
    <xf numFmtId="0" fontId="69" fillId="2" borderId="0" xfId="0" applyFont="1" applyFill="1" applyAlignment="1">
      <alignment horizontal="center" vertical="center"/>
    </xf>
    <xf numFmtId="0" fontId="59" fillId="3" borderId="18" xfId="0" applyFont="1" applyFill="1" applyBorder="1" applyAlignment="1">
      <alignment horizontal="left" vertical="center"/>
    </xf>
    <xf numFmtId="0" fontId="69" fillId="3" borderId="23" xfId="0" applyFont="1" applyFill="1" applyBorder="1" applyAlignment="1">
      <alignment horizontal="center" vertical="center"/>
    </xf>
    <xf numFmtId="0" fontId="62" fillId="4" borderId="18" xfId="0" applyFont="1" applyFill="1" applyBorder="1" applyAlignment="1">
      <alignment horizontal="left" vertical="center"/>
    </xf>
    <xf numFmtId="0" fontId="69" fillId="4" borderId="23" xfId="0" applyFont="1" applyFill="1" applyBorder="1"/>
    <xf numFmtId="0" fontId="69" fillId="2" borderId="0" xfId="0" applyFont="1" applyFill="1"/>
    <xf numFmtId="0" fontId="69" fillId="3" borderId="23" xfId="0" applyFont="1" applyFill="1" applyBorder="1"/>
    <xf numFmtId="0" fontId="66" fillId="3" borderId="18" xfId="0" applyFont="1" applyFill="1" applyBorder="1" applyAlignment="1">
      <alignment horizontal="left" vertical="center"/>
    </xf>
    <xf numFmtId="0" fontId="69" fillId="3" borderId="20" xfId="0" applyFont="1" applyFill="1" applyBorder="1"/>
    <xf numFmtId="10" fontId="69" fillId="3" borderId="20" xfId="0" applyNumberFormat="1" applyFont="1" applyFill="1" applyBorder="1"/>
    <xf numFmtId="0" fontId="69" fillId="3" borderId="24" xfId="0" applyFont="1" applyFill="1" applyBorder="1"/>
    <xf numFmtId="0" fontId="53" fillId="2" borderId="3" xfId="0" applyFont="1" applyFill="1" applyBorder="1" applyAlignment="1">
      <alignment horizontal="center" vertical="center"/>
    </xf>
    <xf numFmtId="0" fontId="71" fillId="6" borderId="54" xfId="20" applyFont="1" applyFill="1" applyBorder="1" applyAlignment="1">
      <alignment horizontal="center" vertical="center" wrapText="1"/>
    </xf>
    <xf numFmtId="2" fontId="71" fillId="0" borderId="0" xfId="20" applyNumberFormat="1" applyFont="1" applyAlignment="1">
      <alignment vertical="center"/>
    </xf>
    <xf numFmtId="0" fontId="77" fillId="7" borderId="6" xfId="0" applyFont="1" applyFill="1" applyBorder="1" applyAlignment="1">
      <alignment horizontal="left" vertical="center"/>
    </xf>
    <xf numFmtId="0" fontId="77" fillId="7" borderId="6" xfId="0" applyFont="1" applyFill="1" applyBorder="1"/>
    <xf numFmtId="0" fontId="77" fillId="7" borderId="14" xfId="0" applyFont="1" applyFill="1" applyBorder="1"/>
    <xf numFmtId="0" fontId="77" fillId="13" borderId="6" xfId="0" applyFont="1" applyFill="1" applyBorder="1"/>
    <xf numFmtId="0" fontId="72" fillId="13" borderId="6" xfId="0" applyFont="1" applyFill="1" applyBorder="1" applyAlignment="1">
      <alignment horizontal="center" vertical="center" wrapText="1"/>
    </xf>
    <xf numFmtId="0" fontId="76" fillId="13" borderId="28" xfId="20" applyFont="1" applyFill="1" applyBorder="1" applyAlignment="1">
      <alignment horizontal="left" vertical="center" wrapText="1"/>
    </xf>
    <xf numFmtId="0" fontId="80" fillId="13" borderId="33" xfId="0" applyFont="1" applyFill="1" applyBorder="1" applyAlignment="1">
      <alignment horizontal="center" vertical="center" wrapText="1"/>
    </xf>
    <xf numFmtId="0" fontId="77" fillId="13" borderId="33" xfId="0" applyFont="1" applyFill="1" applyBorder="1"/>
    <xf numFmtId="0" fontId="77" fillId="13" borderId="43" xfId="0" applyFont="1" applyFill="1" applyBorder="1"/>
    <xf numFmtId="0" fontId="76" fillId="13" borderId="8" xfId="20" applyFont="1" applyFill="1" applyBorder="1" applyAlignment="1">
      <alignment vertical="center" wrapText="1"/>
    </xf>
    <xf numFmtId="0" fontId="77" fillId="13" borderId="14" xfId="0" applyFont="1" applyFill="1" applyBorder="1"/>
    <xf numFmtId="0" fontId="72" fillId="13" borderId="22" xfId="0" applyFont="1" applyFill="1" applyBorder="1" applyAlignment="1">
      <alignment horizontal="center" vertical="center"/>
    </xf>
    <xf numFmtId="0" fontId="80" fillId="10" borderId="6" xfId="0" applyFont="1" applyFill="1" applyBorder="1" applyAlignment="1">
      <alignment horizontal="center" vertical="center" wrapText="1"/>
    </xf>
    <xf numFmtId="0" fontId="76" fillId="10" borderId="6" xfId="0" applyFont="1" applyFill="1" applyBorder="1" applyAlignment="1">
      <alignment horizontal="left" vertical="center" wrapText="1"/>
    </xf>
    <xf numFmtId="176" fontId="76" fillId="10" borderId="6" xfId="0" applyNumberFormat="1" applyFont="1" applyFill="1" applyBorder="1" applyAlignment="1">
      <alignment horizontal="center" vertical="center" wrapText="1"/>
    </xf>
    <xf numFmtId="0" fontId="76" fillId="10" borderId="21" xfId="0" applyFont="1" applyFill="1" applyBorder="1" applyAlignment="1">
      <alignment vertical="center" wrapText="1"/>
    </xf>
    <xf numFmtId="0" fontId="80" fillId="10" borderId="22" xfId="0" applyFont="1" applyFill="1" applyBorder="1" applyAlignment="1">
      <alignment horizontal="center" vertical="center" wrapText="1"/>
    </xf>
    <xf numFmtId="0" fontId="76" fillId="10" borderId="22" xfId="0" applyFont="1" applyFill="1" applyBorder="1" applyAlignment="1">
      <alignment horizontal="left" vertical="center" wrapText="1"/>
    </xf>
    <xf numFmtId="0" fontId="76" fillId="7" borderId="6" xfId="20" applyFont="1" applyFill="1" applyBorder="1" applyAlignment="1">
      <alignment vertical="center"/>
    </xf>
    <xf numFmtId="2" fontId="76" fillId="7" borderId="6" xfId="20" applyNumberFormat="1" applyFont="1" applyFill="1" applyBorder="1" applyAlignment="1">
      <alignment horizontal="center" vertical="center"/>
    </xf>
    <xf numFmtId="2" fontId="71" fillId="6" borderId="48" xfId="20" applyNumberFormat="1" applyFont="1" applyFill="1" applyBorder="1" applyAlignment="1">
      <alignment horizontal="center" vertical="center"/>
    </xf>
    <xf numFmtId="0" fontId="73" fillId="7" borderId="6" xfId="20" applyFont="1" applyFill="1" applyBorder="1" applyAlignment="1">
      <alignment vertical="center"/>
    </xf>
    <xf numFmtId="2" fontId="73" fillId="7" borderId="6" xfId="20" applyNumberFormat="1" applyFont="1" applyFill="1" applyBorder="1" applyAlignment="1">
      <alignment horizontal="center" vertical="center"/>
    </xf>
    <xf numFmtId="2" fontId="76" fillId="7" borderId="6" xfId="0" applyNumberFormat="1" applyFont="1" applyFill="1" applyBorder="1" applyAlignment="1">
      <alignment horizontal="center"/>
    </xf>
    <xf numFmtId="0" fontId="73" fillId="7" borderId="33" xfId="20" applyFont="1" applyFill="1" applyBorder="1" applyAlignment="1">
      <alignment vertical="center"/>
    </xf>
    <xf numFmtId="0" fontId="87" fillId="0" borderId="6" xfId="0" applyFont="1" applyBorder="1"/>
    <xf numFmtId="0" fontId="10" fillId="0" borderId="6" xfId="0" applyFont="1" applyBorder="1"/>
    <xf numFmtId="0" fontId="89" fillId="0" borderId="6" xfId="0" applyFont="1" applyBorder="1"/>
    <xf numFmtId="0" fontId="76" fillId="7" borderId="8" xfId="20" applyFont="1" applyFill="1" applyBorder="1" applyAlignment="1">
      <alignment vertical="center"/>
    </xf>
    <xf numFmtId="0" fontId="76" fillId="7" borderId="21" xfId="20" applyFont="1" applyFill="1" applyBorder="1" applyAlignment="1">
      <alignment vertical="center"/>
    </xf>
    <xf numFmtId="0" fontId="76" fillId="7" borderId="28" xfId="20" applyFont="1" applyFill="1" applyBorder="1" applyAlignment="1">
      <alignment vertical="center"/>
    </xf>
    <xf numFmtId="0" fontId="76" fillId="7" borderId="43" xfId="20" applyFont="1" applyFill="1" applyBorder="1" applyAlignment="1">
      <alignment vertical="center"/>
    </xf>
    <xf numFmtId="0" fontId="76" fillId="7" borderId="6" xfId="20" applyFont="1" applyFill="1" applyBorder="1" applyAlignment="1">
      <alignment horizontal="center" vertical="center"/>
    </xf>
    <xf numFmtId="0" fontId="76" fillId="7" borderId="33" xfId="20" applyFont="1" applyFill="1" applyBorder="1" applyAlignment="1">
      <alignment vertical="center"/>
    </xf>
    <xf numFmtId="0" fontId="10" fillId="0" borderId="22" xfId="0" applyFont="1" applyBorder="1"/>
    <xf numFmtId="0" fontId="76" fillId="7" borderId="22" xfId="20" applyFont="1" applyFill="1" applyBorder="1" applyAlignment="1">
      <alignment horizontal="center" vertical="center"/>
    </xf>
    <xf numFmtId="2" fontId="73" fillId="7" borderId="14" xfId="20" applyNumberFormat="1" applyFont="1" applyFill="1" applyBorder="1" applyAlignment="1">
      <alignment horizontal="center" vertical="center"/>
    </xf>
    <xf numFmtId="2" fontId="76" fillId="7" borderId="14" xfId="20" applyNumberFormat="1" applyFont="1" applyFill="1" applyBorder="1" applyAlignment="1">
      <alignment horizontal="center" vertical="center"/>
    </xf>
    <xf numFmtId="2" fontId="76" fillId="10" borderId="14" xfId="0" applyNumberFormat="1" applyFont="1" applyFill="1" applyBorder="1" applyAlignment="1">
      <alignment horizontal="center" vertical="center" wrapText="1"/>
    </xf>
    <xf numFmtId="2" fontId="76" fillId="13" borderId="14" xfId="0" applyNumberFormat="1" applyFont="1" applyFill="1" applyBorder="1" applyAlignment="1">
      <alignment horizontal="center" vertical="center" wrapText="1"/>
    </xf>
    <xf numFmtId="2" fontId="76" fillId="7" borderId="27" xfId="20" applyNumberFormat="1" applyFont="1" applyFill="1" applyBorder="1" applyAlignment="1">
      <alignment horizontal="center" vertical="center"/>
    </xf>
    <xf numFmtId="177" fontId="8" fillId="0" borderId="0" xfId="0" applyNumberFormat="1" applyFont="1"/>
    <xf numFmtId="0" fontId="56" fillId="3" borderId="7" xfId="0" applyFont="1" applyFill="1" applyBorder="1" applyAlignment="1">
      <alignment horizontal="left" vertical="center" wrapText="1"/>
    </xf>
    <xf numFmtId="0" fontId="56" fillId="3" borderId="29" xfId="0" applyFont="1" applyFill="1" applyBorder="1" applyAlignment="1">
      <alignment horizontal="left" vertical="center" wrapText="1"/>
    </xf>
    <xf numFmtId="0" fontId="56" fillId="3" borderId="25" xfId="0" applyFont="1" applyFill="1" applyBorder="1" applyAlignment="1">
      <alignment horizontal="left" vertical="center" wrapText="1"/>
    </xf>
    <xf numFmtId="0" fontId="56" fillId="3" borderId="26" xfId="0" applyFont="1" applyFill="1" applyBorder="1" applyAlignment="1">
      <alignment horizontal="left" vertical="center" wrapText="1"/>
    </xf>
    <xf numFmtId="2" fontId="73" fillId="7" borderId="38" xfId="16" applyNumberFormat="1" applyFont="1" applyFill="1" applyBorder="1" applyAlignment="1">
      <alignment horizontal="center" vertical="center"/>
    </xf>
    <xf numFmtId="2" fontId="73" fillId="7" borderId="40" xfId="16" applyNumberFormat="1" applyFont="1" applyFill="1" applyBorder="1" applyAlignment="1">
      <alignment horizontal="center" vertical="center"/>
    </xf>
    <xf numFmtId="2" fontId="76" fillId="7" borderId="40" xfId="16" applyNumberFormat="1" applyFont="1" applyFill="1" applyBorder="1" applyAlignment="1">
      <alignment horizontal="center" vertical="center"/>
    </xf>
    <xf numFmtId="2" fontId="76" fillId="7" borderId="57" xfId="16" applyNumberFormat="1" applyFont="1" applyFill="1" applyBorder="1" applyAlignment="1">
      <alignment horizontal="center" vertical="center"/>
    </xf>
    <xf numFmtId="2" fontId="76" fillId="7" borderId="38" xfId="16" applyNumberFormat="1" applyFont="1" applyFill="1" applyBorder="1" applyAlignment="1">
      <alignment horizontal="center" vertical="center"/>
    </xf>
    <xf numFmtId="2" fontId="76" fillId="7" borderId="40" xfId="0" applyNumberFormat="1" applyFont="1" applyFill="1" applyBorder="1" applyAlignment="1">
      <alignment horizontal="center"/>
    </xf>
    <xf numFmtId="2" fontId="73" fillId="7" borderId="41" xfId="16" applyNumberFormat="1" applyFont="1" applyFill="1" applyBorder="1" applyAlignment="1">
      <alignment horizontal="center" vertical="center"/>
    </xf>
    <xf numFmtId="176" fontId="76" fillId="7" borderId="56" xfId="16" applyNumberFormat="1" applyFont="1" applyFill="1" applyBorder="1" applyAlignment="1">
      <alignment horizontal="center" vertical="center"/>
    </xf>
    <xf numFmtId="176" fontId="76" fillId="7" borderId="40" xfId="16" applyNumberFormat="1" applyFont="1" applyFill="1" applyBorder="1" applyAlignment="1">
      <alignment horizontal="center" vertical="center"/>
    </xf>
    <xf numFmtId="176" fontId="76" fillId="7" borderId="41" xfId="16" applyNumberFormat="1" applyFont="1" applyFill="1" applyBorder="1" applyAlignment="1">
      <alignment horizontal="center" vertical="center"/>
    </xf>
    <xf numFmtId="2" fontId="76" fillId="7" borderId="41" xfId="16" applyNumberFormat="1" applyFont="1" applyFill="1" applyBorder="1" applyAlignment="1">
      <alignment horizontal="center" vertical="center"/>
    </xf>
    <xf numFmtId="2" fontId="71" fillId="8" borderId="23" xfId="16" applyNumberFormat="1" applyFont="1" applyFill="1" applyBorder="1" applyAlignment="1">
      <alignment horizontal="center" vertical="center" wrapText="1"/>
    </xf>
    <xf numFmtId="2" fontId="76" fillId="10" borderId="38" xfId="0" applyNumberFormat="1" applyFont="1" applyFill="1" applyBorder="1" applyAlignment="1">
      <alignment horizontal="center" vertical="center" wrapText="1"/>
    </xf>
    <xf numFmtId="2" fontId="76" fillId="10" borderId="40" xfId="0" applyNumberFormat="1" applyFont="1" applyFill="1" applyBorder="1" applyAlignment="1">
      <alignment horizontal="center" vertical="center" wrapText="1"/>
    </xf>
    <xf numFmtId="176" fontId="76" fillId="10" borderId="40" xfId="0" applyNumberFormat="1" applyFont="1" applyFill="1" applyBorder="1" applyAlignment="1">
      <alignment horizontal="center" vertical="center" wrapText="1"/>
    </xf>
    <xf numFmtId="2" fontId="76" fillId="10" borderId="41" xfId="0" applyNumberFormat="1" applyFont="1" applyFill="1" applyBorder="1" applyAlignment="1">
      <alignment horizontal="center" vertical="center" wrapText="1"/>
    </xf>
    <xf numFmtId="176" fontId="76" fillId="10" borderId="41" xfId="0" applyNumberFormat="1" applyFont="1" applyFill="1" applyBorder="1" applyAlignment="1">
      <alignment horizontal="center" vertical="center" wrapText="1"/>
    </xf>
    <xf numFmtId="2" fontId="71" fillId="11" borderId="23" xfId="16" applyNumberFormat="1" applyFont="1" applyFill="1" applyBorder="1" applyAlignment="1">
      <alignment horizontal="center" vertical="center"/>
    </xf>
    <xf numFmtId="2" fontId="76" fillId="13" borderId="38" xfId="0" applyNumberFormat="1" applyFont="1" applyFill="1" applyBorder="1" applyAlignment="1">
      <alignment horizontal="center" vertical="center" wrapText="1"/>
    </xf>
    <xf numFmtId="2" fontId="76" fillId="13" borderId="40" xfId="0" applyNumberFormat="1" applyFont="1" applyFill="1" applyBorder="1" applyAlignment="1">
      <alignment horizontal="center" vertical="center" wrapText="1"/>
    </xf>
    <xf numFmtId="0" fontId="76" fillId="7" borderId="54" xfId="20" applyFont="1" applyFill="1" applyBorder="1" applyAlignment="1">
      <alignment vertical="center"/>
    </xf>
    <xf numFmtId="0" fontId="76" fillId="7" borderId="59" xfId="20" applyFont="1" applyFill="1" applyBorder="1" applyAlignment="1">
      <alignment vertical="center"/>
    </xf>
    <xf numFmtId="0" fontId="76" fillId="7" borderId="60" xfId="20" applyFont="1" applyFill="1" applyBorder="1" applyAlignment="1">
      <alignment vertical="center"/>
    </xf>
    <xf numFmtId="0" fontId="10" fillId="0" borderId="54" xfId="0" applyFont="1" applyBorder="1"/>
    <xf numFmtId="0" fontId="10" fillId="0" borderId="59" xfId="0" applyFont="1" applyBorder="1"/>
    <xf numFmtId="0" fontId="10" fillId="0" borderId="60" xfId="0" applyFont="1" applyBorder="1"/>
    <xf numFmtId="0" fontId="69" fillId="3" borderId="0" xfId="0" applyFont="1" applyFill="1" applyAlignment="1">
      <alignment horizontal="center" vertical="center"/>
    </xf>
    <xf numFmtId="10" fontId="69" fillId="3" borderId="0" xfId="0" applyNumberFormat="1" applyFont="1" applyFill="1" applyAlignment="1">
      <alignment horizontal="center" vertical="center"/>
    </xf>
    <xf numFmtId="0" fontId="69" fillId="4" borderId="0" xfId="0" applyFont="1" applyFill="1"/>
    <xf numFmtId="10" fontId="69" fillId="4" borderId="0" xfId="0" applyNumberFormat="1" applyFont="1" applyFill="1"/>
    <xf numFmtId="0" fontId="69" fillId="3" borderId="0" xfId="0" applyFont="1" applyFill="1"/>
    <xf numFmtId="10" fontId="69" fillId="3" borderId="0" xfId="0" applyNumberFormat="1" applyFont="1" applyFill="1"/>
    <xf numFmtId="0" fontId="69" fillId="3" borderId="0" xfId="0" applyFont="1" applyFill="1" applyAlignment="1">
      <alignment wrapText="1"/>
    </xf>
    <xf numFmtId="0" fontId="69" fillId="3" borderId="19" xfId="0" applyFont="1" applyFill="1" applyBorder="1" applyAlignment="1">
      <alignment horizontal="left" vertical="center"/>
    </xf>
    <xf numFmtId="0" fontId="59" fillId="3" borderId="8" xfId="16" applyFont="1" applyFill="1" applyBorder="1" applyAlignment="1">
      <alignment horizontal="center" vertical="center" wrapText="1"/>
    </xf>
    <xf numFmtId="0" fontId="59" fillId="3" borderId="6" xfId="16" applyFont="1" applyFill="1" applyBorder="1" applyAlignment="1">
      <alignment horizontal="center" vertical="center" wrapText="1"/>
    </xf>
    <xf numFmtId="2" fontId="59" fillId="3" borderId="6" xfId="16" applyNumberFormat="1" applyFont="1" applyFill="1" applyBorder="1" applyAlignment="1">
      <alignment horizontal="center" vertical="center"/>
    </xf>
    <xf numFmtId="2" fontId="50" fillId="0" borderId="6" xfId="16" applyNumberFormat="1" applyFont="1" applyBorder="1" applyAlignment="1">
      <alignment horizontal="center" vertical="center"/>
    </xf>
    <xf numFmtId="0" fontId="59" fillId="3" borderId="46" xfId="16" applyFont="1" applyFill="1" applyBorder="1" applyAlignment="1">
      <alignment horizontal="center" vertical="center" wrapText="1"/>
    </xf>
    <xf numFmtId="0" fontId="59" fillId="3" borderId="58" xfId="16" applyFont="1" applyFill="1" applyBorder="1" applyAlignment="1">
      <alignment horizontal="center" vertical="center" wrapText="1"/>
    </xf>
    <xf numFmtId="0" fontId="49" fillId="0" borderId="0" xfId="16" applyFont="1" applyAlignment="1">
      <alignment horizontal="center" vertical="center" wrapText="1"/>
    </xf>
    <xf numFmtId="0" fontId="50" fillId="0" borderId="0" xfId="16" applyFont="1" applyAlignment="1">
      <alignment vertical="center"/>
    </xf>
    <xf numFmtId="2" fontId="50" fillId="0" borderId="0" xfId="16" applyNumberFormat="1" applyFont="1" applyAlignment="1">
      <alignment horizontal="center" vertical="center"/>
    </xf>
    <xf numFmtId="0" fontId="49" fillId="0" borderId="0" xfId="0" applyFont="1" applyAlignment="1">
      <alignment horizontal="left" vertical="center"/>
    </xf>
    <xf numFmtId="0" fontId="50" fillId="5" borderId="6" xfId="0" applyFont="1" applyFill="1" applyBorder="1" applyAlignment="1">
      <alignment vertical="center" wrapText="1"/>
    </xf>
    <xf numFmtId="0" fontId="5" fillId="0" borderId="8" xfId="27" applyFont="1" applyBorder="1" applyAlignment="1">
      <alignment horizontal="left"/>
    </xf>
    <xf numFmtId="0" fontId="5" fillId="0" borderId="6" xfId="27" applyFont="1" applyBorder="1" applyAlignment="1">
      <alignment horizontal="center"/>
    </xf>
    <xf numFmtId="0" fontId="5" fillId="0" borderId="14" xfId="27" applyFont="1" applyBorder="1" applyAlignment="1">
      <alignment horizontal="center"/>
    </xf>
    <xf numFmtId="0" fontId="5" fillId="0" borderId="21" xfId="27" applyFont="1" applyBorder="1" applyAlignment="1">
      <alignment horizontal="left"/>
    </xf>
    <xf numFmtId="0" fontId="5" fillId="0" borderId="22" xfId="27" applyFont="1" applyBorder="1" applyAlignment="1">
      <alignment horizontal="center"/>
    </xf>
    <xf numFmtId="49" fontId="5" fillId="0" borderId="22" xfId="27" applyNumberFormat="1" applyFont="1" applyBorder="1" applyAlignment="1">
      <alignment horizontal="center"/>
    </xf>
    <xf numFmtId="0" fontId="5" fillId="0" borderId="27" xfId="27" applyFont="1" applyBorder="1" applyAlignment="1">
      <alignment horizontal="center"/>
    </xf>
    <xf numFmtId="0" fontId="59" fillId="3" borderId="14" xfId="16" applyFont="1" applyFill="1" applyBorder="1" applyAlignment="1">
      <alignment horizontal="center" vertical="center" wrapText="1"/>
    </xf>
    <xf numFmtId="0" fontId="71" fillId="13" borderId="17" xfId="0" applyFont="1" applyFill="1" applyBorder="1" applyAlignment="1">
      <alignment horizontal="center" vertical="center" wrapText="1"/>
    </xf>
    <xf numFmtId="0" fontId="71" fillId="13" borderId="48" xfId="0" applyFont="1" applyFill="1" applyBorder="1" applyAlignment="1">
      <alignment horizontal="center" vertical="center" wrapText="1"/>
    </xf>
    <xf numFmtId="0" fontId="71" fillId="13" borderId="24" xfId="0" applyFont="1" applyFill="1" applyBorder="1" applyAlignment="1">
      <alignment horizontal="center" vertical="center" wrapText="1"/>
    </xf>
    <xf numFmtId="0" fontId="70" fillId="14" borderId="39" xfId="0" applyFont="1" applyFill="1" applyBorder="1" applyAlignment="1">
      <alignment horizontal="center"/>
    </xf>
    <xf numFmtId="0" fontId="71" fillId="0" borderId="54" xfId="0" applyFont="1" applyBorder="1" applyAlignment="1">
      <alignment horizontal="center"/>
    </xf>
    <xf numFmtId="3" fontId="71" fillId="0" borderId="38" xfId="0" applyNumberFormat="1" applyFont="1" applyBorder="1" applyAlignment="1">
      <alignment horizontal="center" wrapText="1"/>
    </xf>
    <xf numFmtId="178" fontId="71" fillId="0" borderId="38" xfId="0" applyNumberFormat="1" applyFont="1" applyBorder="1" applyAlignment="1">
      <alignment horizontal="center" wrapText="1"/>
    </xf>
    <xf numFmtId="178" fontId="71" fillId="0" borderId="38" xfId="24" applyNumberFormat="1" applyFont="1" applyFill="1" applyBorder="1" applyAlignment="1">
      <alignment wrapText="1"/>
    </xf>
    <xf numFmtId="178" fontId="71" fillId="0" borderId="38" xfId="0" applyNumberFormat="1" applyFont="1" applyBorder="1"/>
    <xf numFmtId="0" fontId="70" fillId="14" borderId="34" xfId="0" applyFont="1" applyFill="1" applyBorder="1" applyAlignment="1">
      <alignment horizontal="center"/>
    </xf>
    <xf numFmtId="0" fontId="71" fillId="0" borderId="59" xfId="0" applyFont="1" applyBorder="1" applyAlignment="1">
      <alignment horizontal="center"/>
    </xf>
    <xf numFmtId="3" fontId="71" fillId="0" borderId="40" xfId="0" applyNumberFormat="1" applyFont="1" applyBorder="1" applyAlignment="1">
      <alignment horizontal="center" wrapText="1"/>
    </xf>
    <xf numFmtId="178" fontId="71" fillId="0" borderId="40" xfId="0" applyNumberFormat="1" applyFont="1" applyBorder="1" applyAlignment="1">
      <alignment horizontal="center" wrapText="1"/>
    </xf>
    <xf numFmtId="178" fontId="71" fillId="0" borderId="40" xfId="24" applyNumberFormat="1" applyFont="1" applyFill="1" applyBorder="1" applyAlignment="1">
      <alignment wrapText="1"/>
    </xf>
    <xf numFmtId="178" fontId="71" fillId="0" borderId="40" xfId="0" applyNumberFormat="1" applyFont="1" applyBorder="1"/>
    <xf numFmtId="0" fontId="70" fillId="14" borderId="36" xfId="0" applyFont="1" applyFill="1" applyBorder="1" applyAlignment="1">
      <alignment horizontal="center"/>
    </xf>
    <xf numFmtId="0" fontId="71" fillId="0" borderId="60" xfId="0" applyFont="1" applyBorder="1" applyAlignment="1">
      <alignment horizontal="center"/>
    </xf>
    <xf numFmtId="3" fontId="71" fillId="0" borderId="41" xfId="0" applyNumberFormat="1" applyFont="1" applyBorder="1" applyAlignment="1">
      <alignment horizontal="center" wrapText="1"/>
    </xf>
    <xf numFmtId="178" fontId="71" fillId="0" borderId="41" xfId="0" applyNumberFormat="1" applyFont="1" applyBorder="1" applyAlignment="1">
      <alignment horizontal="center" wrapText="1"/>
    </xf>
    <xf numFmtId="178" fontId="71" fillId="0" borderId="41" xfId="24" applyNumberFormat="1" applyFont="1" applyFill="1" applyBorder="1" applyAlignment="1">
      <alignment wrapText="1"/>
    </xf>
    <xf numFmtId="178" fontId="71" fillId="0" borderId="41" xfId="0" applyNumberFormat="1" applyFont="1" applyBorder="1"/>
    <xf numFmtId="0" fontId="70" fillId="14" borderId="64" xfId="0" applyFont="1" applyFill="1" applyBorder="1" applyAlignment="1">
      <alignment horizontal="center"/>
    </xf>
    <xf numFmtId="0" fontId="71" fillId="0" borderId="63" xfId="0" applyFont="1" applyBorder="1" applyAlignment="1">
      <alignment horizontal="center"/>
    </xf>
    <xf numFmtId="3" fontId="71" fillId="0" borderId="56" xfId="0" applyNumberFormat="1" applyFont="1" applyBorder="1" applyAlignment="1">
      <alignment horizontal="center" wrapText="1"/>
    </xf>
    <xf numFmtId="178" fontId="71" fillId="0" borderId="56" xfId="0" applyNumberFormat="1" applyFont="1" applyBorder="1" applyAlignment="1">
      <alignment horizontal="center" wrapText="1"/>
    </xf>
    <xf numFmtId="178" fontId="71" fillId="0" borderId="56" xfId="24" applyNumberFormat="1" applyFont="1" applyFill="1" applyBorder="1" applyAlignment="1">
      <alignment wrapText="1"/>
    </xf>
    <xf numFmtId="178" fontId="71" fillId="0" borderId="56" xfId="0" applyNumberFormat="1" applyFont="1" applyBorder="1"/>
    <xf numFmtId="0" fontId="71" fillId="14" borderId="36" xfId="0" applyFont="1" applyFill="1" applyBorder="1" applyAlignment="1">
      <alignment horizontal="center"/>
    </xf>
    <xf numFmtId="49" fontId="92" fillId="0" borderId="41" xfId="0" applyNumberFormat="1" applyFont="1" applyBorder="1" applyAlignment="1">
      <alignment horizontal="center" wrapText="1"/>
    </xf>
    <xf numFmtId="49" fontId="71" fillId="0" borderId="41" xfId="0" applyNumberFormat="1" applyFont="1" applyBorder="1"/>
    <xf numFmtId="0" fontId="71" fillId="0" borderId="56" xfId="0" applyFont="1" applyBorder="1" applyAlignment="1">
      <alignment horizontal="center" wrapText="1"/>
    </xf>
    <xf numFmtId="0" fontId="71" fillId="0" borderId="41" xfId="0" applyFont="1" applyBorder="1" applyAlignment="1">
      <alignment horizontal="center" wrapText="1"/>
    </xf>
    <xf numFmtId="0" fontId="71" fillId="14" borderId="64" xfId="0" applyFont="1" applyFill="1" applyBorder="1" applyAlignment="1">
      <alignment horizontal="center"/>
    </xf>
    <xf numFmtId="0" fontId="71" fillId="0" borderId="56" xfId="0" applyFont="1" applyBorder="1" applyAlignment="1">
      <alignment horizontal="center"/>
    </xf>
    <xf numFmtId="4" fontId="71" fillId="0" borderId="56" xfId="0" applyNumberFormat="1" applyFont="1" applyBorder="1" applyAlignment="1">
      <alignment horizontal="center" wrapText="1"/>
    </xf>
    <xf numFmtId="4" fontId="71" fillId="0" borderId="40" xfId="0" applyNumberFormat="1" applyFont="1" applyBorder="1" applyAlignment="1">
      <alignment horizontal="center" wrapText="1"/>
    </xf>
    <xf numFmtId="4" fontId="71" fillId="0" borderId="41" xfId="0" applyNumberFormat="1" applyFont="1" applyBorder="1" applyAlignment="1">
      <alignment horizontal="center" wrapText="1"/>
    </xf>
    <xf numFmtId="0" fontId="71" fillId="14" borderId="34" xfId="0" applyFont="1" applyFill="1" applyBorder="1" applyAlignment="1">
      <alignment horizontal="center"/>
    </xf>
    <xf numFmtId="0" fontId="71" fillId="0" borderId="40" xfId="0" applyFont="1" applyBorder="1" applyAlignment="1">
      <alignment horizontal="center"/>
    </xf>
    <xf numFmtId="0" fontId="71" fillId="0" borderId="41" xfId="0" applyFont="1" applyBorder="1" applyAlignment="1">
      <alignment horizontal="center"/>
    </xf>
    <xf numFmtId="0" fontId="92" fillId="7" borderId="64" xfId="0" applyFont="1" applyFill="1" applyBorder="1" applyAlignment="1">
      <alignment horizontal="center"/>
    </xf>
    <xf numFmtId="0" fontId="92" fillId="7" borderId="63" xfId="0" applyFont="1" applyFill="1" applyBorder="1" applyAlignment="1">
      <alignment horizontal="center"/>
    </xf>
    <xf numFmtId="0" fontId="92" fillId="7" borderId="56" xfId="0" applyFont="1" applyFill="1" applyBorder="1" applyAlignment="1">
      <alignment horizontal="center"/>
    </xf>
    <xf numFmtId="178" fontId="71" fillId="7" borderId="56" xfId="0" applyNumberFormat="1" applyFont="1" applyFill="1" applyBorder="1" applyAlignment="1">
      <alignment horizontal="center" wrapText="1"/>
    </xf>
    <xf numFmtId="178" fontId="92" fillId="7" borderId="56" xfId="24" applyNumberFormat="1" applyFont="1" applyFill="1" applyBorder="1" applyAlignment="1">
      <alignment wrapText="1"/>
    </xf>
    <xf numFmtId="178" fontId="92" fillId="7" borderId="56" xfId="0" applyNumberFormat="1" applyFont="1" applyFill="1" applyBorder="1"/>
    <xf numFmtId="0" fontId="92" fillId="7" borderId="34" xfId="0" applyFont="1" applyFill="1" applyBorder="1" applyAlignment="1">
      <alignment horizontal="center"/>
    </xf>
    <xf numFmtId="0" fontId="92" fillId="7" borderId="59" xfId="0" applyFont="1" applyFill="1" applyBorder="1" applyAlignment="1">
      <alignment horizontal="center"/>
    </xf>
    <xf numFmtId="0" fontId="92" fillId="7" borderId="40" xfId="0" applyFont="1" applyFill="1" applyBorder="1" applyAlignment="1">
      <alignment horizontal="center"/>
    </xf>
    <xf numFmtId="178" fontId="71" fillId="7" borderId="40" xfId="0" applyNumberFormat="1" applyFont="1" applyFill="1" applyBorder="1" applyAlignment="1">
      <alignment horizontal="center" wrapText="1"/>
    </xf>
    <xf numFmtId="178" fontId="92" fillId="7" borderId="40" xfId="24" applyNumberFormat="1" applyFont="1" applyFill="1" applyBorder="1" applyAlignment="1">
      <alignment wrapText="1"/>
    </xf>
    <xf numFmtId="178" fontId="92" fillId="7" borderId="40" xfId="0" applyNumberFormat="1" applyFont="1" applyFill="1" applyBorder="1"/>
    <xf numFmtId="0" fontId="92" fillId="7" borderId="36" xfId="0" applyFont="1" applyFill="1" applyBorder="1" applyAlignment="1">
      <alignment horizontal="center"/>
    </xf>
    <xf numFmtId="0" fontId="92" fillId="7" borderId="60" xfId="0" applyFont="1" applyFill="1" applyBorder="1" applyAlignment="1">
      <alignment horizontal="center"/>
    </xf>
    <xf numFmtId="0" fontId="92" fillId="7" borderId="41" xfId="0" applyFont="1" applyFill="1" applyBorder="1" applyAlignment="1">
      <alignment horizontal="center"/>
    </xf>
    <xf numFmtId="178" fontId="71" fillId="7" borderId="41" xfId="0" applyNumberFormat="1" applyFont="1" applyFill="1" applyBorder="1" applyAlignment="1">
      <alignment horizontal="center" wrapText="1"/>
    </xf>
    <xf numFmtId="178" fontId="92" fillId="7" borderId="41" xfId="24" applyNumberFormat="1" applyFont="1" applyFill="1" applyBorder="1" applyAlignment="1">
      <alignment wrapText="1"/>
    </xf>
    <xf numFmtId="178" fontId="92" fillId="7" borderId="41" xfId="0" applyNumberFormat="1" applyFont="1" applyFill="1" applyBorder="1"/>
    <xf numFmtId="178" fontId="70" fillId="0" borderId="56" xfId="0" applyNumberFormat="1" applyFont="1" applyBorder="1"/>
    <xf numFmtId="178" fontId="70" fillId="0" borderId="40" xfId="0" applyNumberFormat="1" applyFont="1" applyBorder="1"/>
    <xf numFmtId="178" fontId="70" fillId="0" borderId="41" xfId="0" applyNumberFormat="1" applyFont="1" applyBorder="1"/>
    <xf numFmtId="0" fontId="70" fillId="13" borderId="54" xfId="0" applyFont="1" applyFill="1" applyBorder="1" applyAlignment="1">
      <alignment vertical="center" wrapText="1"/>
    </xf>
    <xf numFmtId="0" fontId="70" fillId="13" borderId="63" xfId="0" applyFont="1" applyFill="1" applyBorder="1" applyAlignment="1">
      <alignment vertical="center" wrapText="1"/>
    </xf>
    <xf numFmtId="0" fontId="71" fillId="13" borderId="63" xfId="0" applyFont="1" applyFill="1" applyBorder="1" applyAlignment="1">
      <alignment vertical="center" wrapText="1"/>
    </xf>
    <xf numFmtId="170" fontId="13" fillId="3" borderId="6" xfId="0" applyNumberFormat="1" applyFont="1" applyFill="1" applyBorder="1" applyAlignment="1">
      <alignment horizontal="center" vertical="center" wrapText="1"/>
    </xf>
    <xf numFmtId="170" fontId="13" fillId="3" borderId="14" xfId="0" applyNumberFormat="1" applyFont="1" applyFill="1" applyBorder="1" applyAlignment="1">
      <alignment horizontal="center" vertical="center" wrapText="1"/>
    </xf>
    <xf numFmtId="170" fontId="12" fillId="5" borderId="6" xfId="0" applyNumberFormat="1" applyFont="1" applyFill="1" applyBorder="1" applyAlignment="1">
      <alignment horizontal="center" vertical="center" wrapText="1"/>
    </xf>
    <xf numFmtId="175" fontId="12" fillId="5" borderId="6" xfId="24" applyFont="1" applyFill="1" applyBorder="1" applyAlignment="1" applyProtection="1">
      <alignment horizontal="center" vertical="center"/>
    </xf>
    <xf numFmtId="2" fontId="12" fillId="5" borderId="6" xfId="0" applyNumberFormat="1" applyFont="1" applyFill="1" applyBorder="1" applyAlignment="1">
      <alignment horizontal="center" vertical="center" wrapText="1"/>
    </xf>
    <xf numFmtId="175" fontId="12" fillId="5" borderId="6" xfId="24" applyFont="1" applyFill="1" applyBorder="1" applyAlignment="1" applyProtection="1">
      <alignment horizontal="left" vertical="center"/>
    </xf>
    <xf numFmtId="168" fontId="12" fillId="5" borderId="6" xfId="0" applyNumberFormat="1" applyFont="1" applyFill="1" applyBorder="1" applyAlignment="1">
      <alignment horizontal="center" vertical="center" wrapText="1"/>
    </xf>
    <xf numFmtId="170" fontId="12" fillId="5" borderId="14" xfId="0" applyNumberFormat="1" applyFont="1" applyFill="1" applyBorder="1" applyAlignment="1">
      <alignment horizontal="center" vertical="center" wrapText="1"/>
    </xf>
    <xf numFmtId="2" fontId="5" fillId="0" borderId="0" xfId="0" applyNumberFormat="1" applyFont="1" applyAlignment="1">
      <alignment horizontal="center"/>
    </xf>
    <xf numFmtId="0" fontId="69" fillId="0" borderId="6" xfId="16" applyFont="1" applyBorder="1" applyAlignment="1">
      <alignment vertical="center"/>
    </xf>
    <xf numFmtId="2" fontId="69" fillId="0" borderId="6" xfId="16" applyNumberFormat="1" applyFont="1" applyBorder="1" applyAlignment="1">
      <alignment horizontal="center" vertical="center"/>
    </xf>
    <xf numFmtId="0" fontId="5" fillId="0" borderId="6" xfId="0" applyFont="1" applyBorder="1" applyAlignment="1">
      <alignment horizontal="left" vertical="center"/>
    </xf>
    <xf numFmtId="2" fontId="96" fillId="0" borderId="6" xfId="16" applyNumberFormat="1" applyFont="1" applyBorder="1" applyAlignment="1">
      <alignment horizontal="center" vertical="center"/>
    </xf>
    <xf numFmtId="0" fontId="5" fillId="0" borderId="6" xfId="0" applyFont="1" applyBorder="1"/>
    <xf numFmtId="0" fontId="5" fillId="0" borderId="14" xfId="0" applyFont="1" applyBorder="1"/>
    <xf numFmtId="0" fontId="69" fillId="0" borderId="22" xfId="16" applyFont="1" applyBorder="1" applyAlignment="1">
      <alignment vertical="center"/>
    </xf>
    <xf numFmtId="2" fontId="69" fillId="0" borderId="22" xfId="16" applyNumberFormat="1" applyFont="1" applyBorder="1" applyAlignment="1">
      <alignment horizontal="center" vertical="center"/>
    </xf>
    <xf numFmtId="0" fontId="5" fillId="0" borderId="43" xfId="16" applyFont="1" applyBorder="1" applyAlignment="1">
      <alignment vertical="center" wrapText="1"/>
    </xf>
    <xf numFmtId="0" fontId="5" fillId="0" borderId="14" xfId="16" applyFont="1" applyBorder="1" applyAlignment="1">
      <alignment vertical="center" wrapText="1"/>
    </xf>
    <xf numFmtId="0" fontId="5" fillId="0" borderId="27" xfId="16" applyFont="1" applyBorder="1" applyAlignment="1">
      <alignment vertical="center" wrapText="1"/>
    </xf>
    <xf numFmtId="0" fontId="53" fillId="0" borderId="51" xfId="0" applyFont="1" applyBorder="1" applyAlignment="1">
      <alignment horizontal="left"/>
    </xf>
    <xf numFmtId="0" fontId="5" fillId="0" borderId="61" xfId="16" applyFont="1" applyBorder="1" applyAlignment="1">
      <alignment vertical="center" wrapText="1"/>
    </xf>
    <xf numFmtId="2" fontId="5" fillId="0" borderId="6" xfId="0" applyNumberFormat="1" applyFont="1" applyBorder="1" applyAlignment="1">
      <alignment horizontal="center"/>
    </xf>
    <xf numFmtId="2" fontId="5" fillId="0" borderId="14" xfId="0" applyNumberFormat="1" applyFont="1" applyBorder="1" applyAlignment="1">
      <alignment horizontal="center"/>
    </xf>
    <xf numFmtId="0" fontId="5" fillId="0" borderId="21" xfId="0" applyFont="1" applyBorder="1" applyAlignment="1">
      <alignment horizontal="center"/>
    </xf>
    <xf numFmtId="2" fontId="5" fillId="0" borderId="22" xfId="0" applyNumberFormat="1" applyFont="1" applyBorder="1" applyAlignment="1">
      <alignment horizontal="center"/>
    </xf>
    <xf numFmtId="2" fontId="5" fillId="0" borderId="27" xfId="0" applyNumberFormat="1" applyFont="1" applyBorder="1" applyAlignment="1">
      <alignment horizontal="center"/>
    </xf>
    <xf numFmtId="49" fontId="5" fillId="0" borderId="8" xfId="0" applyNumberFormat="1" applyFont="1" applyBorder="1" applyAlignment="1">
      <alignment horizontal="center"/>
    </xf>
    <xf numFmtId="4" fontId="50" fillId="5" borderId="25" xfId="0" applyNumberFormat="1" applyFont="1" applyFill="1" applyBorder="1" applyAlignment="1">
      <alignment horizontal="center" vertical="center" wrapText="1"/>
    </xf>
    <xf numFmtId="0" fontId="47" fillId="3" borderId="6" xfId="0" applyFont="1" applyFill="1" applyBorder="1" applyAlignment="1">
      <alignment horizontal="center" vertical="center" wrapText="1"/>
    </xf>
    <xf numFmtId="4" fontId="47" fillId="3" borderId="14" xfId="0" applyNumberFormat="1" applyFont="1" applyFill="1" applyBorder="1" applyAlignment="1">
      <alignment horizontal="center" vertical="center" wrapText="1"/>
    </xf>
    <xf numFmtId="4" fontId="99" fillId="3" borderId="6" xfId="0" applyNumberFormat="1" applyFont="1" applyFill="1" applyBorder="1" applyAlignment="1">
      <alignment horizontal="center" vertical="center" wrapText="1"/>
    </xf>
    <xf numFmtId="0" fontId="47" fillId="3" borderId="6" xfId="0" applyFont="1" applyFill="1" applyBorder="1" applyAlignment="1">
      <alignment vertical="center" wrapText="1"/>
    </xf>
    <xf numFmtId="175" fontId="59" fillId="3" borderId="6" xfId="24" applyFont="1" applyFill="1" applyBorder="1" applyAlignment="1" applyProtection="1"/>
    <xf numFmtId="0" fontId="58" fillId="3" borderId="22" xfId="0" applyFont="1" applyFill="1" applyBorder="1" applyAlignment="1">
      <alignment vertical="center"/>
    </xf>
    <xf numFmtId="0" fontId="87" fillId="15" borderId="6" xfId="0" applyFont="1" applyFill="1" applyBorder="1"/>
    <xf numFmtId="0" fontId="87" fillId="10" borderId="6" xfId="0" applyFont="1" applyFill="1" applyBorder="1"/>
    <xf numFmtId="0" fontId="87" fillId="7" borderId="6" xfId="0" applyFont="1" applyFill="1" applyBorder="1"/>
    <xf numFmtId="0" fontId="87" fillId="16" borderId="6" xfId="0" applyFont="1" applyFill="1" applyBorder="1"/>
    <xf numFmtId="2" fontId="100" fillId="7" borderId="40" xfId="16" applyNumberFormat="1" applyFont="1" applyFill="1" applyBorder="1" applyAlignment="1">
      <alignment horizontal="center" vertical="center"/>
    </xf>
    <xf numFmtId="0" fontId="3" fillId="13" borderId="22" xfId="0" applyFont="1" applyFill="1" applyBorder="1" applyAlignment="1">
      <alignment vertical="center" wrapText="1"/>
    </xf>
    <xf numFmtId="176" fontId="100" fillId="13" borderId="41" xfId="0" applyNumberFormat="1" applyFont="1" applyFill="1" applyBorder="1" applyAlignment="1">
      <alignment horizontal="center" vertical="center"/>
    </xf>
    <xf numFmtId="0" fontId="3" fillId="13" borderId="21" xfId="0" applyFont="1" applyFill="1" applyBorder="1" applyAlignment="1">
      <alignment horizontal="left" vertical="center"/>
    </xf>
    <xf numFmtId="2" fontId="100" fillId="17" borderId="31" xfId="20" applyNumberFormat="1" applyFont="1" applyFill="1" applyBorder="1" applyAlignment="1">
      <alignment horizontal="center" vertical="center"/>
    </xf>
    <xf numFmtId="176" fontId="100" fillId="17" borderId="59" xfId="0" applyNumberFormat="1" applyFont="1" applyFill="1" applyBorder="1" applyAlignment="1">
      <alignment horizontal="center" vertical="center" wrapText="1"/>
    </xf>
    <xf numFmtId="176" fontId="100" fillId="17" borderId="59" xfId="0" applyNumberFormat="1" applyFont="1" applyFill="1" applyBorder="1" applyAlignment="1">
      <alignment horizontal="center" vertical="center"/>
    </xf>
    <xf numFmtId="0" fontId="76" fillId="7" borderId="34" xfId="20" applyFont="1" applyFill="1" applyBorder="1" applyAlignment="1">
      <alignment vertical="center"/>
    </xf>
    <xf numFmtId="0" fontId="92" fillId="17" borderId="38" xfId="0" applyFont="1" applyFill="1" applyBorder="1" applyAlignment="1">
      <alignment horizontal="center"/>
    </xf>
    <xf numFmtId="0" fontId="92" fillId="17" borderId="40" xfId="0" applyFont="1" applyFill="1" applyBorder="1" applyAlignment="1">
      <alignment horizontal="center"/>
    </xf>
    <xf numFmtId="0" fontId="92" fillId="17" borderId="41" xfId="0" applyFont="1" applyFill="1" applyBorder="1" applyAlignment="1">
      <alignment horizontal="center"/>
    </xf>
    <xf numFmtId="0" fontId="92" fillId="17" borderId="54" xfId="0" applyFont="1" applyFill="1" applyBorder="1" applyAlignment="1">
      <alignment horizontal="center"/>
    </xf>
    <xf numFmtId="0" fontId="92" fillId="17" borderId="59" xfId="0" applyFont="1" applyFill="1" applyBorder="1" applyAlignment="1">
      <alignment horizontal="center"/>
    </xf>
    <xf numFmtId="0" fontId="92" fillId="17" borderId="60" xfId="0" applyFont="1" applyFill="1" applyBorder="1" applyAlignment="1">
      <alignment horizontal="center"/>
    </xf>
    <xf numFmtId="0" fontId="92" fillId="17" borderId="56" xfId="0" applyFont="1" applyFill="1" applyBorder="1" applyAlignment="1">
      <alignment horizontal="center"/>
    </xf>
    <xf numFmtId="49" fontId="92" fillId="18" borderId="41" xfId="0" applyNumberFormat="1" applyFont="1" applyFill="1" applyBorder="1" applyAlignment="1">
      <alignment horizontal="center"/>
    </xf>
    <xf numFmtId="0" fontId="70" fillId="13" borderId="23" xfId="0" applyFont="1" applyFill="1" applyBorder="1" applyAlignment="1">
      <alignment vertical="center"/>
    </xf>
    <xf numFmtId="0" fontId="70" fillId="13" borderId="0" xfId="0" applyFont="1" applyFill="1" applyAlignment="1">
      <alignment vertical="center"/>
    </xf>
    <xf numFmtId="4" fontId="13" fillId="2" borderId="0" xfId="0" applyNumberFormat="1" applyFont="1" applyFill="1" applyAlignment="1">
      <alignment horizontal="center" vertical="center" wrapText="1"/>
    </xf>
    <xf numFmtId="10" fontId="13" fillId="2" borderId="0" xfId="0" applyNumberFormat="1" applyFont="1" applyFill="1" applyAlignment="1">
      <alignment horizontal="center" vertical="center" wrapText="1"/>
    </xf>
    <xf numFmtId="0" fontId="13" fillId="2" borderId="0" xfId="0" applyFont="1" applyFill="1" applyAlignment="1">
      <alignment vertical="center"/>
    </xf>
    <xf numFmtId="0" fontId="12" fillId="2" borderId="0" xfId="0" applyFont="1" applyFill="1" applyAlignment="1">
      <alignment horizontal="justify" vertical="center"/>
    </xf>
    <xf numFmtId="4" fontId="12" fillId="2" borderId="0" xfId="0" applyNumberFormat="1" applyFont="1" applyFill="1" applyAlignment="1">
      <alignment horizontal="justify" vertical="center"/>
    </xf>
    <xf numFmtId="1" fontId="12" fillId="2" borderId="0" xfId="0" applyNumberFormat="1" applyFont="1" applyFill="1" applyAlignment="1">
      <alignment horizontal="justify" vertical="center"/>
    </xf>
    <xf numFmtId="10" fontId="12" fillId="2" borderId="0" xfId="19" applyNumberFormat="1" applyFont="1" applyFill="1" applyBorder="1" applyAlignment="1" applyProtection="1">
      <alignment horizontal="justify" vertical="center"/>
    </xf>
    <xf numFmtId="10" fontId="12" fillId="2" borderId="0" xfId="0" applyNumberFormat="1" applyFont="1" applyFill="1" applyAlignment="1">
      <alignment horizontal="justify" vertical="center"/>
    </xf>
    <xf numFmtId="172" fontId="12" fillId="2" borderId="0" xfId="0" applyNumberFormat="1" applyFont="1" applyFill="1" applyAlignment="1">
      <alignment horizontal="justify" vertical="center"/>
    </xf>
    <xf numFmtId="172" fontId="12" fillId="5" borderId="6" xfId="0" applyNumberFormat="1" applyFont="1" applyFill="1" applyBorder="1" applyAlignment="1">
      <alignment horizontal="center" vertical="center" wrapText="1"/>
    </xf>
    <xf numFmtId="166" fontId="12" fillId="5" borderId="6" xfId="0" applyNumberFormat="1" applyFont="1" applyFill="1" applyBorder="1" applyAlignment="1">
      <alignment horizontal="center" vertical="center" wrapText="1"/>
    </xf>
    <xf numFmtId="165" fontId="12" fillId="5" borderId="6" xfId="0" applyNumberFormat="1" applyFont="1" applyFill="1" applyBorder="1" applyAlignment="1">
      <alignment horizontal="center" vertical="center" wrapText="1"/>
    </xf>
    <xf numFmtId="4" fontId="12" fillId="5" borderId="6" xfId="24" applyNumberFormat="1" applyFont="1" applyFill="1" applyBorder="1" applyAlignment="1" applyProtection="1">
      <alignment horizontal="center" vertical="center"/>
    </xf>
    <xf numFmtId="4" fontId="12" fillId="5" borderId="6" xfId="0" applyNumberFormat="1" applyFont="1" applyFill="1" applyBorder="1" applyAlignment="1">
      <alignment horizontal="center" vertical="center" wrapText="1"/>
    </xf>
    <xf numFmtId="0" fontId="3" fillId="10" borderId="6" xfId="0" applyFont="1" applyFill="1" applyBorder="1" applyAlignment="1">
      <alignment horizontal="left" vertical="center" wrapText="1"/>
    </xf>
    <xf numFmtId="176" fontId="3" fillId="10" borderId="6" xfId="0" applyNumberFormat="1" applyFont="1" applyFill="1" applyBorder="1" applyAlignment="1">
      <alignment horizontal="center" vertical="center" wrapText="1"/>
    </xf>
    <xf numFmtId="176" fontId="3" fillId="13" borderId="6" xfId="0" applyNumberFormat="1" applyFont="1" applyFill="1" applyBorder="1" applyAlignment="1">
      <alignment horizontal="center" vertical="center"/>
    </xf>
    <xf numFmtId="0" fontId="3" fillId="13" borderId="33" xfId="0" applyFont="1" applyFill="1" applyBorder="1" applyAlignment="1">
      <alignment horizontal="left" vertical="center" wrapText="1"/>
    </xf>
    <xf numFmtId="0" fontId="3" fillId="13" borderId="6" xfId="0" applyFont="1" applyFill="1" applyBorder="1" applyAlignment="1">
      <alignment vertical="center" wrapText="1"/>
    </xf>
    <xf numFmtId="0" fontId="5" fillId="0" borderId="4" xfId="0" applyFont="1" applyBorder="1" applyAlignment="1">
      <alignment vertical="center"/>
    </xf>
    <xf numFmtId="4" fontId="5" fillId="0" borderId="4" xfId="0" applyNumberFormat="1" applyFont="1" applyBorder="1" applyAlignment="1">
      <alignment horizontal="center" vertical="center"/>
    </xf>
    <xf numFmtId="10" fontId="5" fillId="0" borderId="4" xfId="0" applyNumberFormat="1" applyFont="1" applyBorder="1" applyAlignment="1">
      <alignment horizontal="center" vertical="center"/>
    </xf>
    <xf numFmtId="0" fontId="5" fillId="0" borderId="6" xfId="0" applyFont="1" applyBorder="1" applyAlignment="1">
      <alignment vertical="center"/>
    </xf>
    <xf numFmtId="4" fontId="5" fillId="0" borderId="6" xfId="0" applyNumberFormat="1" applyFont="1" applyBorder="1" applyAlignment="1">
      <alignment horizontal="center" vertical="center"/>
    </xf>
    <xf numFmtId="10" fontId="5" fillId="0" borderId="6" xfId="0" applyNumberFormat="1" applyFont="1" applyBorder="1" applyAlignment="1">
      <alignment horizontal="center" vertical="center"/>
    </xf>
    <xf numFmtId="4" fontId="5" fillId="2" borderId="7" xfId="0" applyNumberFormat="1" applyFont="1" applyFill="1" applyBorder="1" applyAlignment="1">
      <alignment horizontal="center" vertical="center"/>
    </xf>
    <xf numFmtId="4" fontId="5" fillId="2" borderId="13" xfId="0" applyNumberFormat="1" applyFont="1" applyFill="1" applyBorder="1" applyAlignment="1">
      <alignment horizontal="center" vertical="center"/>
    </xf>
    <xf numFmtId="4" fontId="5" fillId="2" borderId="8" xfId="0" applyNumberFormat="1" applyFont="1" applyFill="1" applyBorder="1" applyAlignment="1">
      <alignment horizontal="center" vertical="center"/>
    </xf>
    <xf numFmtId="4" fontId="5" fillId="2" borderId="14" xfId="0" applyNumberFormat="1" applyFont="1" applyFill="1" applyBorder="1" applyAlignment="1">
      <alignment horizontal="center" vertical="center"/>
    </xf>
    <xf numFmtId="4" fontId="5" fillId="0" borderId="13" xfId="0" applyNumberFormat="1" applyFont="1" applyBorder="1" applyAlignment="1">
      <alignment horizontal="center" vertical="center"/>
    </xf>
    <xf numFmtId="10" fontId="5" fillId="0" borderId="13" xfId="0" applyNumberFormat="1" applyFont="1" applyBorder="1" applyAlignment="1">
      <alignment horizontal="center" vertical="center"/>
    </xf>
    <xf numFmtId="14" fontId="5" fillId="2" borderId="28" xfId="0" applyNumberFormat="1" applyFont="1" applyFill="1" applyBorder="1" applyAlignment="1">
      <alignment horizontal="center"/>
    </xf>
    <xf numFmtId="14" fontId="5" fillId="2" borderId="8" xfId="0" applyNumberFormat="1" applyFont="1" applyFill="1" applyBorder="1" applyAlignment="1">
      <alignment horizontal="center"/>
    </xf>
    <xf numFmtId="0" fontId="5" fillId="2" borderId="8" xfId="0" applyFont="1" applyFill="1" applyBorder="1" applyAlignment="1">
      <alignment horizontal="center"/>
    </xf>
    <xf numFmtId="14" fontId="5" fillId="2" borderId="21" xfId="0" applyNumberFormat="1" applyFont="1" applyFill="1" applyBorder="1" applyAlignment="1">
      <alignment horizontal="center"/>
    </xf>
    <xf numFmtId="4" fontId="103" fillId="3" borderId="6" xfId="0" applyNumberFormat="1" applyFont="1" applyFill="1" applyBorder="1" applyAlignment="1">
      <alignment horizontal="center" vertical="center" wrapText="1"/>
    </xf>
    <xf numFmtId="175" fontId="103" fillId="3" borderId="6" xfId="24" applyFont="1" applyFill="1" applyBorder="1" applyAlignment="1" applyProtection="1">
      <alignment horizontal="center" vertical="center" wrapText="1"/>
    </xf>
    <xf numFmtId="2" fontId="103" fillId="3" borderId="6" xfId="0" applyNumberFormat="1" applyFont="1" applyFill="1" applyBorder="1" applyAlignment="1">
      <alignment horizontal="center" vertical="center" wrapText="1"/>
    </xf>
    <xf numFmtId="0" fontId="50" fillId="19" borderId="6" xfId="0" applyFont="1" applyFill="1" applyBorder="1" applyAlignment="1">
      <alignment vertical="center" wrapText="1"/>
    </xf>
    <xf numFmtId="4" fontId="50" fillId="5" borderId="6" xfId="0" applyNumberFormat="1" applyFont="1" applyFill="1" applyBorder="1" applyAlignment="1" applyProtection="1">
      <alignment horizontal="center" vertical="center" wrapText="1"/>
      <protection locked="0"/>
    </xf>
    <xf numFmtId="4" fontId="102" fillId="5" borderId="6" xfId="0" applyNumberFormat="1" applyFont="1" applyFill="1" applyBorder="1" applyAlignment="1" applyProtection="1">
      <alignment horizontal="center" vertical="center" wrapText="1"/>
      <protection locked="0"/>
    </xf>
    <xf numFmtId="2" fontId="0" fillId="18" borderId="11" xfId="0" applyNumberFormat="1" applyFill="1" applyBorder="1" applyAlignment="1">
      <alignment horizontal="center"/>
    </xf>
    <xf numFmtId="2" fontId="0" fillId="18" borderId="10" xfId="0" applyNumberFormat="1" applyFill="1" applyBorder="1" applyAlignment="1">
      <alignment horizontal="center"/>
    </xf>
    <xf numFmtId="2" fontId="0" fillId="18" borderId="49" xfId="0" applyNumberFormat="1" applyFill="1" applyBorder="1" applyAlignment="1">
      <alignment horizontal="center"/>
    </xf>
    <xf numFmtId="2" fontId="0" fillId="18" borderId="20" xfId="0" applyNumberFormat="1" applyFill="1" applyBorder="1" applyAlignment="1">
      <alignment horizontal="center"/>
    </xf>
    <xf numFmtId="2" fontId="0" fillId="18" borderId="68" xfId="0" applyNumberFormat="1" applyFill="1" applyBorder="1" applyAlignment="1">
      <alignment horizontal="center"/>
    </xf>
    <xf numFmtId="2" fontId="0" fillId="18" borderId="61" xfId="0" applyNumberFormat="1" applyFill="1" applyBorder="1" applyAlignment="1">
      <alignment horizontal="center"/>
    </xf>
    <xf numFmtId="0" fontId="0" fillId="18" borderId="11" xfId="0" applyFill="1" applyBorder="1" applyAlignment="1">
      <alignment horizontal="center"/>
    </xf>
    <xf numFmtId="0" fontId="0" fillId="18" borderId="10" xfId="0" applyFill="1" applyBorder="1" applyAlignment="1">
      <alignment horizontal="center"/>
    </xf>
    <xf numFmtId="0" fontId="50" fillId="5" borderId="6" xfId="0" applyFont="1" applyFill="1" applyBorder="1" applyAlignment="1" applyProtection="1">
      <alignment horizontal="center" vertical="center" wrapText="1"/>
      <protection locked="0"/>
    </xf>
    <xf numFmtId="0" fontId="92" fillId="18" borderId="40" xfId="0" applyFont="1" applyFill="1" applyBorder="1" applyAlignment="1">
      <alignment horizontal="center"/>
    </xf>
    <xf numFmtId="0" fontId="92" fillId="18" borderId="56" xfId="0" applyFont="1" applyFill="1" applyBorder="1" applyAlignment="1">
      <alignment horizontal="center"/>
    </xf>
    <xf numFmtId="0" fontId="101" fillId="7" borderId="65" xfId="20" applyFont="1" applyFill="1" applyBorder="1" applyAlignment="1">
      <alignment horizontal="left" vertical="center" wrapText="1"/>
    </xf>
    <xf numFmtId="0" fontId="101" fillId="7" borderId="66" xfId="20" applyFont="1" applyFill="1" applyBorder="1" applyAlignment="1">
      <alignment horizontal="left" vertical="center" wrapText="1"/>
    </xf>
    <xf numFmtId="0" fontId="101" fillId="7" borderId="57" xfId="20" applyFont="1" applyFill="1" applyBorder="1" applyAlignment="1">
      <alignment horizontal="left" vertical="center" wrapText="1"/>
    </xf>
    <xf numFmtId="0" fontId="101" fillId="7" borderId="64" xfId="20" applyFont="1" applyFill="1" applyBorder="1" applyAlignment="1">
      <alignment horizontal="left" vertical="center" wrapText="1"/>
    </xf>
    <xf numFmtId="0" fontId="101" fillId="7" borderId="67" xfId="20" applyFont="1" applyFill="1" applyBorder="1" applyAlignment="1">
      <alignment horizontal="left" vertical="center" wrapText="1"/>
    </xf>
    <xf numFmtId="0" fontId="101" fillId="7" borderId="56" xfId="20" applyFont="1" applyFill="1" applyBorder="1" applyAlignment="1">
      <alignment horizontal="left" vertical="center" wrapText="1"/>
    </xf>
    <xf numFmtId="0" fontId="74" fillId="7" borderId="15" xfId="20" applyFont="1" applyFill="1" applyBorder="1" applyAlignment="1">
      <alignment horizontal="left" vertical="center" wrapText="1"/>
    </xf>
    <xf numFmtId="0" fontId="74" fillId="7" borderId="16" xfId="20" applyFont="1" applyFill="1" applyBorder="1" applyAlignment="1">
      <alignment horizontal="left" vertical="center"/>
    </xf>
    <xf numFmtId="0" fontId="74" fillId="7" borderId="17" xfId="20" applyFont="1" applyFill="1" applyBorder="1" applyAlignment="1">
      <alignment horizontal="left" vertical="center"/>
    </xf>
    <xf numFmtId="0" fontId="74" fillId="7" borderId="18" xfId="20" applyFont="1" applyFill="1" applyBorder="1" applyAlignment="1">
      <alignment horizontal="left" vertical="center"/>
    </xf>
    <xf numFmtId="0" fontId="74" fillId="7" borderId="0" xfId="20" applyFont="1" applyFill="1" applyAlignment="1">
      <alignment horizontal="left" vertical="center"/>
    </xf>
    <xf numFmtId="0" fontId="74" fillId="7" borderId="23" xfId="20" applyFont="1" applyFill="1" applyBorder="1" applyAlignment="1">
      <alignment horizontal="left" vertical="center"/>
    </xf>
    <xf numFmtId="0" fontId="74" fillId="7" borderId="64" xfId="20" applyFont="1" applyFill="1" applyBorder="1" applyAlignment="1">
      <alignment horizontal="left" vertical="center"/>
    </xf>
    <xf numFmtId="0" fontId="74" fillId="7" borderId="67" xfId="20" applyFont="1" applyFill="1" applyBorder="1" applyAlignment="1">
      <alignment horizontal="left" vertical="center"/>
    </xf>
    <xf numFmtId="0" fontId="74" fillId="7" borderId="56" xfId="20" applyFont="1" applyFill="1" applyBorder="1" applyAlignment="1">
      <alignment horizontal="left" vertical="center"/>
    </xf>
    <xf numFmtId="0" fontId="74" fillId="7" borderId="36" xfId="20" applyFont="1" applyFill="1" applyBorder="1" applyAlignment="1">
      <alignment horizontal="left" vertical="center"/>
    </xf>
    <xf numFmtId="0" fontId="74" fillId="7" borderId="32" xfId="20" applyFont="1" applyFill="1" applyBorder="1" applyAlignment="1">
      <alignment horizontal="left" vertical="center"/>
    </xf>
    <xf numFmtId="0" fontId="74" fillId="7" borderId="41" xfId="20" applyFont="1" applyFill="1" applyBorder="1" applyAlignment="1">
      <alignment horizontal="left" vertical="center"/>
    </xf>
    <xf numFmtId="0" fontId="101" fillId="13" borderId="36" xfId="0" applyFont="1" applyFill="1" applyBorder="1" applyAlignment="1">
      <alignment horizontal="center" vertical="center"/>
    </xf>
    <xf numFmtId="0" fontId="101" fillId="13" borderId="32" xfId="0" applyFont="1" applyFill="1" applyBorder="1" applyAlignment="1">
      <alignment horizontal="center" vertical="center"/>
    </xf>
    <xf numFmtId="0" fontId="101" fillId="13" borderId="41" xfId="0" applyFont="1" applyFill="1" applyBorder="1" applyAlignment="1">
      <alignment horizontal="center" vertical="center"/>
    </xf>
    <xf numFmtId="0" fontId="92" fillId="7" borderId="63" xfId="0" applyFont="1" applyFill="1" applyBorder="1" applyAlignment="1">
      <alignment horizontal="left" vertical="center" wrapText="1"/>
    </xf>
    <xf numFmtId="0" fontId="92" fillId="7" borderId="59" xfId="0" applyFont="1" applyFill="1" applyBorder="1" applyAlignment="1">
      <alignment horizontal="left" vertical="center" wrapText="1"/>
    </xf>
    <xf numFmtId="0" fontId="92" fillId="7" borderId="60" xfId="0" applyFont="1" applyFill="1" applyBorder="1" applyAlignment="1">
      <alignment horizontal="left" vertical="center" wrapText="1"/>
    </xf>
    <xf numFmtId="0" fontId="50" fillId="5" borderId="46" xfId="0" applyFont="1" applyFill="1" applyBorder="1" applyAlignment="1">
      <alignment horizontal="left" vertical="center" wrapText="1"/>
    </xf>
    <xf numFmtId="0" fontId="50" fillId="5" borderId="7" xfId="0" applyFont="1" applyFill="1" applyBorder="1" applyAlignment="1">
      <alignment horizontal="left" vertical="center" wrapText="1"/>
    </xf>
    <xf numFmtId="0" fontId="71" fillId="13" borderId="48" xfId="0" applyFont="1" applyFill="1" applyBorder="1" applyAlignment="1">
      <alignment horizontal="left" vertical="center" wrapText="1"/>
    </xf>
    <xf numFmtId="0" fontId="71" fillId="13" borderId="62" xfId="0" applyFont="1" applyFill="1" applyBorder="1" applyAlignment="1">
      <alignment horizontal="left" vertical="center" wrapText="1"/>
    </xf>
    <xf numFmtId="0" fontId="71" fillId="13" borderId="49" xfId="0" applyFont="1" applyFill="1" applyBorder="1" applyAlignment="1">
      <alignment horizontal="left" vertical="center" wrapText="1"/>
    </xf>
    <xf numFmtId="0" fontId="77" fillId="7" borderId="6" xfId="0" applyFont="1" applyFill="1" applyBorder="1" applyAlignment="1">
      <alignment horizontal="left" vertical="center"/>
    </xf>
    <xf numFmtId="0" fontId="77" fillId="7" borderId="14" xfId="0" applyFont="1" applyFill="1" applyBorder="1" applyAlignment="1">
      <alignment horizontal="left" vertical="center"/>
    </xf>
    <xf numFmtId="0" fontId="70" fillId="0" borderId="20" xfId="0" applyFont="1" applyBorder="1" applyAlignment="1">
      <alignment horizontal="center"/>
    </xf>
    <xf numFmtId="0" fontId="71" fillId="6" borderId="9" xfId="20" applyFont="1" applyFill="1" applyBorder="1" applyAlignment="1">
      <alignment horizontal="center" vertical="center" wrapText="1"/>
    </xf>
    <xf numFmtId="0" fontId="71" fillId="6" borderId="10" xfId="20" applyFont="1" applyFill="1" applyBorder="1" applyAlignment="1">
      <alignment horizontal="center" vertical="center" wrapText="1"/>
    </xf>
    <xf numFmtId="0" fontId="71" fillId="6" borderId="44" xfId="20" applyFont="1" applyFill="1" applyBorder="1" applyAlignment="1">
      <alignment horizontal="center" vertical="center" wrapText="1"/>
    </xf>
    <xf numFmtId="0" fontId="71" fillId="6" borderId="9" xfId="20" applyFont="1" applyFill="1" applyBorder="1" applyAlignment="1">
      <alignment horizontal="center" vertical="center"/>
    </xf>
    <xf numFmtId="0" fontId="71" fillId="6" borderId="10" xfId="20" applyFont="1" applyFill="1" applyBorder="1" applyAlignment="1">
      <alignment horizontal="center" vertical="center"/>
    </xf>
    <xf numFmtId="0" fontId="71" fillId="6" borderId="44" xfId="20" applyFont="1" applyFill="1" applyBorder="1" applyAlignment="1">
      <alignment horizontal="center" vertical="center"/>
    </xf>
    <xf numFmtId="2" fontId="71" fillId="6" borderId="15" xfId="20" applyNumberFormat="1" applyFont="1" applyFill="1" applyBorder="1" applyAlignment="1">
      <alignment horizontal="left" vertical="center"/>
    </xf>
    <xf numFmtId="2" fontId="71" fillId="6" borderId="16" xfId="20" applyNumberFormat="1" applyFont="1" applyFill="1" applyBorder="1" applyAlignment="1">
      <alignment horizontal="left" vertical="center"/>
    </xf>
    <xf numFmtId="2" fontId="71" fillId="6" borderId="17" xfId="20" applyNumberFormat="1" applyFont="1" applyFill="1" applyBorder="1" applyAlignment="1">
      <alignment horizontal="left" vertical="center"/>
    </xf>
    <xf numFmtId="0" fontId="3" fillId="7" borderId="28" xfId="20" applyFont="1" applyFill="1" applyBorder="1" applyAlignment="1">
      <alignment horizontal="left" vertical="center" wrapText="1"/>
    </xf>
    <xf numFmtId="0" fontId="3" fillId="7" borderId="8" xfId="20" applyFont="1" applyFill="1" applyBorder="1" applyAlignment="1">
      <alignment horizontal="left" vertical="center" wrapText="1"/>
    </xf>
    <xf numFmtId="0" fontId="72" fillId="7" borderId="33" xfId="0" applyFont="1" applyFill="1" applyBorder="1" applyAlignment="1">
      <alignment horizontal="center" vertical="center"/>
    </xf>
    <xf numFmtId="0" fontId="72" fillId="7" borderId="6" xfId="0" applyFont="1" applyFill="1" applyBorder="1" applyAlignment="1">
      <alignment horizontal="center" vertical="center"/>
    </xf>
    <xf numFmtId="167" fontId="74" fillId="7" borderId="33" xfId="20" applyNumberFormat="1" applyFont="1" applyFill="1" applyBorder="1" applyAlignment="1">
      <alignment horizontal="left" vertical="center"/>
    </xf>
    <xf numFmtId="167" fontId="74" fillId="7" borderId="43" xfId="20" applyNumberFormat="1" applyFont="1" applyFill="1" applyBorder="1" applyAlignment="1">
      <alignment horizontal="left" vertical="center"/>
    </xf>
    <xf numFmtId="167" fontId="74" fillId="7" borderId="6" xfId="20" applyNumberFormat="1" applyFont="1" applyFill="1" applyBorder="1" applyAlignment="1">
      <alignment horizontal="left" vertical="center"/>
    </xf>
    <xf numFmtId="167" fontId="74" fillId="7" borderId="14" xfId="20" applyNumberFormat="1" applyFont="1" applyFill="1" applyBorder="1" applyAlignment="1">
      <alignment horizontal="left" vertical="center"/>
    </xf>
    <xf numFmtId="167" fontId="75" fillId="7" borderId="6" xfId="20" applyNumberFormat="1" applyFont="1" applyFill="1" applyBorder="1" applyAlignment="1">
      <alignment horizontal="left" vertical="center"/>
    </xf>
    <xf numFmtId="167" fontId="75" fillId="7" borderId="14" xfId="20" applyNumberFormat="1" applyFont="1" applyFill="1" applyBorder="1" applyAlignment="1">
      <alignment horizontal="left" vertical="center"/>
    </xf>
    <xf numFmtId="167" fontId="74" fillId="7" borderId="6" xfId="20" applyNumberFormat="1" applyFont="1" applyFill="1" applyBorder="1" applyAlignment="1">
      <alignment horizontal="left" vertical="center" wrapText="1"/>
    </xf>
    <xf numFmtId="167" fontId="74" fillId="7" borderId="14" xfId="20" applyNumberFormat="1" applyFont="1" applyFill="1" applyBorder="1" applyAlignment="1">
      <alignment horizontal="left" vertical="center" wrapText="1"/>
    </xf>
    <xf numFmtId="4" fontId="47" fillId="3" borderId="6" xfId="0" applyNumberFormat="1" applyFont="1" applyFill="1" applyBorder="1" applyAlignment="1">
      <alignment horizontal="center" vertical="center" wrapText="1"/>
    </xf>
    <xf numFmtId="2" fontId="47" fillId="3" borderId="6" xfId="0" applyNumberFormat="1" applyFont="1" applyFill="1" applyBorder="1" applyAlignment="1">
      <alignment horizontal="center" vertical="center" wrapText="1"/>
    </xf>
    <xf numFmtId="4" fontId="12" fillId="5" borderId="6" xfId="0" applyNumberFormat="1" applyFont="1" applyFill="1" applyBorder="1" applyAlignment="1">
      <alignment horizontal="center" vertical="center" wrapText="1"/>
    </xf>
    <xf numFmtId="0" fontId="71" fillId="13" borderId="48" xfId="0" applyFont="1" applyFill="1" applyBorder="1" applyAlignment="1">
      <alignment horizontal="center" vertical="center" wrapText="1"/>
    </xf>
    <xf numFmtId="0" fontId="71" fillId="13" borderId="62" xfId="0" applyFont="1" applyFill="1" applyBorder="1" applyAlignment="1">
      <alignment horizontal="center" vertical="center" wrapText="1"/>
    </xf>
    <xf numFmtId="0" fontId="71" fillId="13" borderId="49" xfId="0" applyFont="1" applyFill="1" applyBorder="1" applyAlignment="1">
      <alignment horizontal="center" vertical="center" wrapText="1"/>
    </xf>
    <xf numFmtId="0" fontId="70" fillId="13" borderId="49" xfId="0" applyFont="1" applyFill="1" applyBorder="1" applyAlignment="1">
      <alignment horizontal="center" vertical="center" wrapText="1"/>
    </xf>
    <xf numFmtId="0" fontId="70" fillId="13" borderId="62" xfId="0" applyFont="1" applyFill="1" applyBorder="1" applyAlignment="1">
      <alignment horizontal="center" vertical="center" wrapText="1"/>
    </xf>
    <xf numFmtId="0" fontId="71" fillId="13" borderId="17" xfId="0" applyFont="1" applyFill="1" applyBorder="1" applyAlignment="1">
      <alignment horizontal="center" vertical="center" wrapText="1"/>
    </xf>
    <xf numFmtId="0" fontId="71" fillId="13" borderId="23" xfId="0" applyFont="1" applyFill="1" applyBorder="1" applyAlignment="1">
      <alignment horizontal="center" vertical="center" wrapText="1"/>
    </xf>
    <xf numFmtId="0" fontId="71" fillId="13" borderId="24"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49" xfId="0" applyFont="1" applyBorder="1" applyAlignment="1">
      <alignment horizontal="center" vertical="center" wrapText="1"/>
    </xf>
    <xf numFmtId="0" fontId="47" fillId="5" borderId="8" xfId="0" applyFont="1" applyFill="1" applyBorder="1" applyAlignment="1">
      <alignment horizontal="left" vertical="center" wrapText="1"/>
    </xf>
    <xf numFmtId="0" fontId="77" fillId="10" borderId="22" xfId="0" applyFont="1" applyFill="1" applyBorder="1" applyAlignment="1">
      <alignment horizontal="left" vertical="center"/>
    </xf>
    <xf numFmtId="0" fontId="77" fillId="10" borderId="27" xfId="0" applyFont="1" applyFill="1" applyBorder="1" applyAlignment="1">
      <alignment horizontal="left" vertical="center"/>
    </xf>
    <xf numFmtId="0" fontId="71" fillId="11" borderId="18" xfId="20" applyFont="1" applyFill="1" applyBorder="1" applyAlignment="1">
      <alignment horizontal="center" vertical="center"/>
    </xf>
    <xf numFmtId="0" fontId="71" fillId="11" borderId="0" xfId="20" applyFont="1" applyFill="1" applyAlignment="1">
      <alignment horizontal="center" vertical="center"/>
    </xf>
    <xf numFmtId="0" fontId="71" fillId="11" borderId="23" xfId="20" applyFont="1" applyFill="1" applyBorder="1" applyAlignment="1">
      <alignment horizontal="center" vertical="center"/>
    </xf>
    <xf numFmtId="0" fontId="71" fillId="12" borderId="5" xfId="0" applyFont="1" applyFill="1" applyBorder="1" applyAlignment="1">
      <alignment horizontal="left"/>
    </xf>
    <xf numFmtId="0" fontId="71" fillId="12" borderId="47" xfId="0" applyFont="1" applyFill="1" applyBorder="1" applyAlignment="1">
      <alignment horizontal="left"/>
    </xf>
    <xf numFmtId="0" fontId="71" fillId="12" borderId="55" xfId="0" applyFont="1" applyFill="1" applyBorder="1" applyAlignment="1">
      <alignment horizontal="left"/>
    </xf>
    <xf numFmtId="0" fontId="3" fillId="7" borderId="6" xfId="20" applyFont="1" applyFill="1" applyBorder="1" applyAlignment="1">
      <alignment horizontal="center" vertical="center" wrapText="1"/>
    </xf>
    <xf numFmtId="0" fontId="71" fillId="8" borderId="8" xfId="20" applyFont="1" applyFill="1" applyBorder="1" applyAlignment="1">
      <alignment horizontal="center" vertical="center" wrapText="1"/>
    </xf>
    <xf numFmtId="0" fontId="71" fillId="8" borderId="6" xfId="20" applyFont="1" applyFill="1" applyBorder="1" applyAlignment="1">
      <alignment horizontal="center" vertical="center" wrapText="1"/>
    </xf>
    <xf numFmtId="0" fontId="71" fillId="9" borderId="6" xfId="0" applyFont="1" applyFill="1" applyBorder="1" applyAlignment="1">
      <alignment horizontal="left"/>
    </xf>
    <xf numFmtId="0" fontId="71" fillId="9" borderId="14" xfId="0" applyFont="1" applyFill="1" applyBorder="1" applyAlignment="1">
      <alignment horizontal="left"/>
    </xf>
    <xf numFmtId="0" fontId="76" fillId="10" borderId="8" xfId="0" applyFont="1" applyFill="1" applyBorder="1" applyAlignment="1">
      <alignment horizontal="left" vertical="center" wrapText="1"/>
    </xf>
    <xf numFmtId="0" fontId="80" fillId="10" borderId="6" xfId="0" applyFont="1" applyFill="1" applyBorder="1" applyAlignment="1">
      <alignment horizontal="center" vertical="center" wrapText="1"/>
    </xf>
    <xf numFmtId="0" fontId="77" fillId="10" borderId="6" xfId="0" applyFont="1" applyFill="1" applyBorder="1" applyAlignment="1">
      <alignment horizontal="left" vertical="center"/>
    </xf>
    <xf numFmtId="0" fontId="77" fillId="10" borderId="14" xfId="0" applyFont="1" applyFill="1" applyBorder="1" applyAlignment="1">
      <alignment horizontal="left" vertical="center"/>
    </xf>
    <xf numFmtId="0" fontId="77" fillId="10" borderId="6" xfId="0" applyFont="1" applyFill="1" applyBorder="1" applyAlignment="1">
      <alignment horizontal="left" vertical="center" wrapText="1"/>
    </xf>
    <xf numFmtId="0" fontId="77" fillId="10" borderId="14" xfId="0" applyFont="1" applyFill="1" applyBorder="1" applyAlignment="1">
      <alignment horizontal="left" vertical="center" wrapText="1"/>
    </xf>
    <xf numFmtId="0" fontId="77" fillId="7" borderId="6" xfId="0" applyFont="1" applyFill="1" applyBorder="1" applyAlignment="1">
      <alignment horizontal="center" vertical="center"/>
    </xf>
    <xf numFmtId="167" fontId="74" fillId="7" borderId="6" xfId="20" applyNumberFormat="1" applyFont="1" applyFill="1" applyBorder="1" applyAlignment="1">
      <alignment vertical="center" wrapText="1"/>
    </xf>
    <xf numFmtId="167" fontId="74" fillId="7" borderId="14" xfId="20" applyNumberFormat="1" applyFont="1" applyFill="1" applyBorder="1" applyAlignment="1">
      <alignment vertical="center" wrapText="1"/>
    </xf>
    <xf numFmtId="167" fontId="75" fillId="7" borderId="6" xfId="20" applyNumberFormat="1" applyFont="1" applyFill="1" applyBorder="1" applyAlignment="1">
      <alignment vertical="center" wrapText="1"/>
    </xf>
    <xf numFmtId="167" fontId="75" fillId="7" borderId="14" xfId="20" applyNumberFormat="1" applyFont="1" applyFill="1" applyBorder="1" applyAlignment="1">
      <alignment vertical="center" wrapText="1"/>
    </xf>
    <xf numFmtId="0" fontId="72" fillId="7" borderId="6" xfId="2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46" fillId="3" borderId="15" xfId="0" applyFont="1" applyFill="1" applyBorder="1" applyAlignment="1">
      <alignment horizontal="center" vertical="center" wrapText="1"/>
    </xf>
    <xf numFmtId="0" fontId="46" fillId="3" borderId="16" xfId="0" applyFont="1" applyFill="1" applyBorder="1" applyAlignment="1">
      <alignment horizontal="center" vertical="center" wrapText="1"/>
    </xf>
    <xf numFmtId="0" fontId="46" fillId="3" borderId="17" xfId="0" applyFont="1" applyFill="1" applyBorder="1" applyAlignment="1">
      <alignment horizontal="center" vertical="center" wrapText="1"/>
    </xf>
    <xf numFmtId="0" fontId="46" fillId="3" borderId="19" xfId="0" applyFont="1" applyFill="1" applyBorder="1" applyAlignment="1">
      <alignment horizontal="center" vertical="center" wrapText="1"/>
    </xf>
    <xf numFmtId="0" fontId="46" fillId="3" borderId="20" xfId="0" applyFont="1" applyFill="1" applyBorder="1" applyAlignment="1">
      <alignment horizontal="center" vertical="center" wrapText="1"/>
    </xf>
    <xf numFmtId="0" fontId="46" fillId="3" borderId="24" xfId="0" applyFont="1" applyFill="1" applyBorder="1" applyAlignment="1">
      <alignment horizontal="center" vertical="center" wrapText="1"/>
    </xf>
    <xf numFmtId="0" fontId="22" fillId="0" borderId="0" xfId="0" applyFont="1" applyAlignment="1">
      <alignment horizontal="center"/>
    </xf>
    <xf numFmtId="0" fontId="47" fillId="3" borderId="8" xfId="0" applyFont="1" applyFill="1" applyBorder="1" applyAlignment="1">
      <alignment horizontal="center" vertical="center" wrapText="1"/>
    </xf>
    <xf numFmtId="0" fontId="47" fillId="3" borderId="8" xfId="0" applyFont="1" applyFill="1" applyBorder="1" applyAlignment="1">
      <alignment horizontal="center" vertical="center"/>
    </xf>
    <xf numFmtId="0" fontId="50" fillId="5" borderId="46" xfId="0" applyFont="1" applyFill="1" applyBorder="1" applyAlignment="1">
      <alignment horizontal="left" vertical="center"/>
    </xf>
    <xf numFmtId="0" fontId="50" fillId="5" borderId="7" xfId="0" applyFont="1" applyFill="1" applyBorder="1" applyAlignment="1">
      <alignment horizontal="left" vertical="center"/>
    </xf>
    <xf numFmtId="4" fontId="103" fillId="3" borderId="6" xfId="0" applyNumberFormat="1" applyFont="1" applyFill="1" applyBorder="1" applyAlignment="1">
      <alignment horizontal="center" vertical="center" wrapText="1"/>
    </xf>
    <xf numFmtId="4" fontId="50" fillId="5" borderId="6" xfId="0" applyNumberFormat="1" applyFont="1" applyFill="1" applyBorder="1" applyAlignment="1">
      <alignment horizontal="center" vertical="center" wrapText="1"/>
    </xf>
    <xf numFmtId="0" fontId="59" fillId="3" borderId="34" xfId="0" applyFont="1" applyFill="1" applyBorder="1" applyAlignment="1">
      <alignment horizontal="left" vertical="center"/>
    </xf>
    <xf numFmtId="0" fontId="59" fillId="3" borderId="31" xfId="0" applyFont="1" applyFill="1" applyBorder="1" applyAlignment="1">
      <alignment horizontal="left" vertical="center"/>
    </xf>
    <xf numFmtId="0" fontId="59" fillId="3" borderId="40" xfId="0" applyFont="1" applyFill="1" applyBorder="1" applyAlignment="1">
      <alignment horizontal="left" vertical="center"/>
    </xf>
    <xf numFmtId="4" fontId="47" fillId="3" borderId="14" xfId="0" applyNumberFormat="1" applyFont="1" applyFill="1" applyBorder="1" applyAlignment="1">
      <alignment horizontal="center" vertical="center" wrapText="1"/>
    </xf>
    <xf numFmtId="0" fontId="58" fillId="3" borderId="39" xfId="0" applyFont="1" applyFill="1" applyBorder="1" applyAlignment="1">
      <alignment horizontal="left" vertical="center"/>
    </xf>
    <xf numFmtId="0" fontId="58" fillId="3" borderId="30" xfId="0" applyFont="1" applyFill="1" applyBorder="1" applyAlignment="1">
      <alignment horizontal="left" vertical="center"/>
    </xf>
    <xf numFmtId="0" fontId="58" fillId="3" borderId="38" xfId="0" applyFont="1" applyFill="1" applyBorder="1" applyAlignment="1">
      <alignment horizontal="left" vertical="center"/>
    </xf>
    <xf numFmtId="0" fontId="47" fillId="3" borderId="6" xfId="0" applyFont="1" applyFill="1" applyBorder="1" applyAlignment="1">
      <alignment horizontal="center" vertical="center" wrapText="1"/>
    </xf>
    <xf numFmtId="0" fontId="47" fillId="3" borderId="6" xfId="0" applyFont="1" applyFill="1" applyBorder="1" applyAlignment="1">
      <alignment horizontal="center" vertical="center"/>
    </xf>
    <xf numFmtId="0" fontId="47" fillId="3" borderId="45" xfId="0" applyFont="1" applyFill="1" applyBorder="1" applyAlignment="1">
      <alignment horizontal="center" vertical="center" wrapText="1"/>
    </xf>
    <xf numFmtId="0" fontId="47" fillId="3" borderId="4" xfId="0" applyFont="1" applyFill="1" applyBorder="1" applyAlignment="1">
      <alignment horizontal="center" vertical="center" wrapText="1"/>
    </xf>
    <xf numFmtId="0" fontId="59" fillId="3" borderId="8" xfId="0" applyFont="1" applyFill="1" applyBorder="1" applyAlignment="1">
      <alignment horizontal="left" vertical="center"/>
    </xf>
    <xf numFmtId="0" fontId="59" fillId="3" borderId="6" xfId="0" applyFont="1" applyFill="1" applyBorder="1" applyAlignment="1">
      <alignment horizontal="left" vertical="center"/>
    </xf>
    <xf numFmtId="0" fontId="59" fillId="3" borderId="14" xfId="0" applyFont="1" applyFill="1" applyBorder="1" applyAlignment="1">
      <alignment horizontal="left" vertical="center"/>
    </xf>
    <xf numFmtId="0" fontId="47" fillId="3" borderId="25" xfId="0" applyFont="1" applyFill="1" applyBorder="1" applyAlignment="1">
      <alignment horizontal="center" vertical="center" wrapText="1"/>
    </xf>
    <xf numFmtId="0" fontId="47" fillId="3" borderId="31" xfId="0" applyFont="1" applyFill="1" applyBorder="1" applyAlignment="1">
      <alignment horizontal="center" vertical="center" wrapText="1"/>
    </xf>
    <xf numFmtId="0" fontId="47" fillId="3" borderId="35" xfId="0" applyFont="1" applyFill="1" applyBorder="1" applyAlignment="1">
      <alignment horizontal="center" vertical="center" wrapText="1"/>
    </xf>
    <xf numFmtId="0" fontId="47" fillId="3" borderId="22" xfId="0" applyFont="1" applyFill="1" applyBorder="1" applyAlignment="1">
      <alignment horizontal="center" vertical="center"/>
    </xf>
    <xf numFmtId="0" fontId="47" fillId="3" borderId="9" xfId="0" applyFont="1" applyFill="1" applyBorder="1" applyAlignment="1">
      <alignment horizontal="center" vertical="center"/>
    </xf>
    <xf numFmtId="0" fontId="47" fillId="3" borderId="10" xfId="0" applyFont="1" applyFill="1" applyBorder="1" applyAlignment="1">
      <alignment horizontal="center" vertical="center"/>
    </xf>
    <xf numFmtId="0" fontId="47" fillId="3" borderId="44" xfId="0" applyFont="1" applyFill="1" applyBorder="1" applyAlignment="1">
      <alignment horizontal="center" vertical="center"/>
    </xf>
    <xf numFmtId="0" fontId="12" fillId="0" borderId="29" xfId="0" applyFont="1" applyBorder="1" applyAlignment="1" applyProtection="1">
      <alignment horizontal="left" vertical="center"/>
      <protection locked="0"/>
    </xf>
    <xf numFmtId="0" fontId="12" fillId="0" borderId="30" xfId="0" applyFont="1" applyBorder="1" applyAlignment="1" applyProtection="1">
      <alignment horizontal="left" vertical="center"/>
      <protection locked="0"/>
    </xf>
    <xf numFmtId="0" fontId="12" fillId="0" borderId="38" xfId="0" applyFont="1" applyBorder="1" applyAlignment="1" applyProtection="1">
      <alignment horizontal="left" vertical="center"/>
      <protection locked="0"/>
    </xf>
    <xf numFmtId="0" fontId="56" fillId="3" borderId="39" xfId="0" applyFont="1" applyFill="1" applyBorder="1" applyAlignment="1">
      <alignment horizontal="left" vertical="center" wrapText="1"/>
    </xf>
    <xf numFmtId="0" fontId="56" fillId="3" borderId="42" xfId="0" applyFont="1" applyFill="1" applyBorder="1" applyAlignment="1">
      <alignment horizontal="left" vertical="center" wrapText="1"/>
    </xf>
    <xf numFmtId="0" fontId="12" fillId="0" borderId="25" xfId="0" applyFont="1" applyBorder="1" applyAlignment="1" applyProtection="1">
      <alignment horizontal="left" vertical="center"/>
      <protection locked="0"/>
    </xf>
    <xf numFmtId="0" fontId="12" fillId="0" borderId="31" xfId="0" applyFont="1" applyBorder="1" applyAlignment="1" applyProtection="1">
      <alignment horizontal="left" vertical="center"/>
      <protection locked="0"/>
    </xf>
    <xf numFmtId="0" fontId="12" fillId="0" borderId="40" xfId="0" applyFont="1" applyBorder="1" applyAlignment="1" applyProtection="1">
      <alignment horizontal="left" vertical="center"/>
      <protection locked="0"/>
    </xf>
    <xf numFmtId="0" fontId="56" fillId="3" borderId="34" xfId="0" applyFont="1" applyFill="1" applyBorder="1" applyAlignment="1">
      <alignment horizontal="left" vertical="center" wrapText="1"/>
    </xf>
    <xf numFmtId="0" fontId="56" fillId="3" borderId="35" xfId="0" applyFont="1" applyFill="1" applyBorder="1" applyAlignment="1">
      <alignment horizontal="left" vertical="center" wrapText="1"/>
    </xf>
    <xf numFmtId="0" fontId="12" fillId="0" borderId="25" xfId="0" applyFont="1" applyBorder="1" applyAlignment="1">
      <alignment horizontal="left" vertical="center"/>
    </xf>
    <xf numFmtId="0" fontId="12" fillId="0" borderId="31" xfId="0" applyFont="1" applyBorder="1" applyAlignment="1">
      <alignment horizontal="left" vertical="center"/>
    </xf>
    <xf numFmtId="0" fontId="12" fillId="0" borderId="40" xfId="0" applyFont="1" applyBorder="1" applyAlignment="1">
      <alignment horizontal="left" vertical="center"/>
    </xf>
    <xf numFmtId="0" fontId="57" fillId="0" borderId="26" xfId="18" applyFont="1" applyFill="1" applyBorder="1" applyAlignment="1" applyProtection="1">
      <alignment horizontal="left" vertical="center"/>
      <protection locked="0"/>
    </xf>
    <xf numFmtId="0" fontId="57" fillId="0" borderId="32" xfId="18" applyFont="1" applyFill="1" applyBorder="1" applyAlignment="1" applyProtection="1">
      <alignment horizontal="left" vertical="center"/>
      <protection locked="0"/>
    </xf>
    <xf numFmtId="0" fontId="57" fillId="0" borderId="41" xfId="18" applyFont="1" applyFill="1" applyBorder="1" applyAlignment="1" applyProtection="1">
      <alignment horizontal="left" vertical="center"/>
      <protection locked="0"/>
    </xf>
    <xf numFmtId="0" fontId="56" fillId="3" borderId="36" xfId="0" applyFont="1" applyFill="1" applyBorder="1" applyAlignment="1">
      <alignment horizontal="left" vertical="center" wrapText="1"/>
    </xf>
    <xf numFmtId="0" fontId="56" fillId="3" borderId="37" xfId="0" applyFont="1" applyFill="1" applyBorder="1" applyAlignment="1">
      <alignment horizontal="left" vertical="center" wrapText="1"/>
    </xf>
    <xf numFmtId="0" fontId="12" fillId="0" borderId="26" xfId="0" applyFont="1" applyBorder="1" applyAlignment="1" applyProtection="1">
      <alignment horizontal="left" vertical="center"/>
      <protection locked="0"/>
    </xf>
    <xf numFmtId="0" fontId="12" fillId="0" borderId="32" xfId="0" applyFont="1" applyBorder="1" applyAlignment="1" applyProtection="1">
      <alignment horizontal="left" vertical="center"/>
      <protection locked="0"/>
    </xf>
    <xf numFmtId="0" fontId="12" fillId="0" borderId="41" xfId="0" applyFont="1" applyBorder="1" applyAlignment="1" applyProtection="1">
      <alignment horizontal="left" vertical="center"/>
      <protection locked="0"/>
    </xf>
    <xf numFmtId="0" fontId="5" fillId="0" borderId="0" xfId="0" applyFont="1" applyAlignment="1">
      <alignment horizontal="left" wrapText="1"/>
    </xf>
    <xf numFmtId="0" fontId="5" fillId="0" borderId="0" xfId="0" applyFont="1" applyAlignment="1">
      <alignment horizontal="left" vertical="top" wrapText="1"/>
    </xf>
    <xf numFmtId="0" fontId="58" fillId="3" borderId="28" xfId="0" applyFont="1" applyFill="1" applyBorder="1" applyAlignment="1">
      <alignment horizontal="left" vertical="center" wrapText="1"/>
    </xf>
    <xf numFmtId="0" fontId="58" fillId="3" borderId="33" xfId="0" applyFont="1" applyFill="1" applyBorder="1" applyAlignment="1">
      <alignment horizontal="left" vertical="center" wrapText="1"/>
    </xf>
    <xf numFmtId="0" fontId="58" fillId="3" borderId="43" xfId="0" applyFont="1" applyFill="1" applyBorder="1" applyAlignment="1">
      <alignment horizontal="left" vertical="center" wrapText="1"/>
    </xf>
    <xf numFmtId="0" fontId="53" fillId="0" borderId="8" xfId="16" applyFont="1" applyBorder="1" applyAlignment="1">
      <alignment horizontal="left" vertical="center" wrapText="1"/>
    </xf>
    <xf numFmtId="0" fontId="53" fillId="0" borderId="21" xfId="16" applyFont="1" applyBorder="1" applyAlignment="1">
      <alignment horizontal="left" vertical="center" wrapText="1"/>
    </xf>
    <xf numFmtId="0" fontId="5" fillId="0" borderId="6" xfId="16" applyFont="1" applyBorder="1" applyAlignment="1">
      <alignment horizontal="center" vertical="center" wrapText="1"/>
    </xf>
    <xf numFmtId="0" fontId="5" fillId="0" borderId="22" xfId="16" applyFont="1" applyBorder="1" applyAlignment="1">
      <alignment horizontal="center" vertical="center" wrapText="1"/>
    </xf>
    <xf numFmtId="0" fontId="59" fillId="3" borderId="8" xfId="16" applyFont="1" applyFill="1" applyBorder="1" applyAlignment="1">
      <alignment horizontal="center" vertical="center" wrapText="1"/>
    </xf>
    <xf numFmtId="0" fontId="59" fillId="3" borderId="6" xfId="16" applyFont="1" applyFill="1" applyBorder="1" applyAlignment="1">
      <alignment horizontal="center" vertical="center"/>
    </xf>
    <xf numFmtId="0" fontId="59" fillId="3" borderId="14" xfId="16" applyFont="1" applyFill="1" applyBorder="1" applyAlignment="1">
      <alignment horizontal="center" vertical="center"/>
    </xf>
    <xf numFmtId="0" fontId="5" fillId="0" borderId="0" xfId="0" applyFont="1" applyAlignment="1"/>
    <xf numFmtId="0" fontId="53" fillId="0" borderId="28" xfId="0" applyFont="1" applyBorder="1" applyAlignment="1">
      <alignment horizontal="left" vertical="center"/>
    </xf>
    <xf numFmtId="0" fontId="53" fillId="0" borderId="21" xfId="0" applyFont="1" applyBorder="1" applyAlignment="1">
      <alignment horizontal="left" vertical="center"/>
    </xf>
    <xf numFmtId="0" fontId="53" fillId="0" borderId="28" xfId="16" applyFont="1" applyBorder="1" applyAlignment="1">
      <alignment horizontal="left" vertical="center" wrapText="1"/>
    </xf>
    <xf numFmtId="0" fontId="53" fillId="0" borderId="8" xfId="0" applyFont="1" applyBorder="1" applyAlignment="1">
      <alignment horizontal="left" vertical="center"/>
    </xf>
    <xf numFmtId="0" fontId="47" fillId="3" borderId="1" xfId="0" applyFont="1" applyFill="1" applyBorder="1" applyAlignment="1">
      <alignment horizontal="center" vertical="center"/>
    </xf>
    <xf numFmtId="0" fontId="47" fillId="3" borderId="2" xfId="0" applyFont="1" applyFill="1" applyBorder="1" applyAlignment="1">
      <alignment horizontal="center" vertical="center"/>
    </xf>
    <xf numFmtId="0" fontId="47" fillId="3" borderId="12" xfId="0" applyFont="1" applyFill="1" applyBorder="1" applyAlignment="1">
      <alignment horizontal="center" vertical="center"/>
    </xf>
    <xf numFmtId="49" fontId="12" fillId="0" borderId="4" xfId="0" applyNumberFormat="1" applyFont="1" applyBorder="1" applyAlignment="1">
      <alignment horizontal="left" vertical="center"/>
    </xf>
    <xf numFmtId="49" fontId="12" fillId="0" borderId="13" xfId="0" applyNumberFormat="1" applyFont="1" applyBorder="1" applyAlignment="1">
      <alignment horizontal="left" vertical="center"/>
    </xf>
    <xf numFmtId="49" fontId="12" fillId="0" borderId="6" xfId="0" applyNumberFormat="1" applyFont="1" applyBorder="1" applyAlignment="1">
      <alignment horizontal="left" vertical="center"/>
    </xf>
    <xf numFmtId="49" fontId="12" fillId="0" borderId="14" xfId="0" applyNumberFormat="1" applyFont="1" applyBorder="1" applyAlignment="1">
      <alignment horizontal="left" vertical="center"/>
    </xf>
    <xf numFmtId="49" fontId="12" fillId="0" borderId="22" xfId="0" applyNumberFormat="1" applyFont="1" applyBorder="1" applyAlignment="1">
      <alignment horizontal="left" vertical="center"/>
    </xf>
    <xf numFmtId="49" fontId="12" fillId="0" borderId="27" xfId="0" applyNumberFormat="1" applyFont="1" applyBorder="1" applyAlignment="1">
      <alignment horizontal="left" vertical="center"/>
    </xf>
    <xf numFmtId="0" fontId="5" fillId="0" borderId="6" xfId="0" applyFont="1" applyBorder="1" applyAlignment="1">
      <alignment horizontal="left" vertical="center"/>
    </xf>
    <xf numFmtId="0" fontId="5" fillId="0" borderId="14" xfId="0" applyFont="1" applyBorder="1" applyAlignment="1">
      <alignment horizontal="left" vertical="center"/>
    </xf>
    <xf numFmtId="0" fontId="5" fillId="0" borderId="22" xfId="0" applyFont="1" applyBorder="1" applyAlignment="1">
      <alignment horizontal="left" vertical="center"/>
    </xf>
    <xf numFmtId="0" fontId="5" fillId="0" borderId="27" xfId="0" applyFont="1" applyBorder="1" applyAlignment="1">
      <alignment horizontal="left" vertical="center"/>
    </xf>
    <xf numFmtId="0" fontId="58" fillId="3" borderId="28" xfId="0" applyFont="1" applyFill="1" applyBorder="1" applyAlignment="1">
      <alignment horizontal="left" vertical="center"/>
    </xf>
    <xf numFmtId="0" fontId="58" fillId="3" borderId="33" xfId="0" applyFont="1" applyFill="1" applyBorder="1" applyAlignment="1">
      <alignment horizontal="left" vertical="center"/>
    </xf>
    <xf numFmtId="0" fontId="58" fillId="3" borderId="43" xfId="0" applyFont="1" applyFill="1" applyBorder="1" applyAlignment="1">
      <alignment horizontal="left" vertical="center"/>
    </xf>
    <xf numFmtId="0" fontId="59" fillId="3" borderId="6" xfId="16" applyFont="1" applyFill="1" applyBorder="1" applyAlignment="1">
      <alignment horizontal="center" vertical="center" wrapText="1"/>
    </xf>
    <xf numFmtId="2" fontId="59" fillId="3" borderId="6" xfId="16" applyNumberFormat="1" applyFont="1" applyFill="1" applyBorder="1" applyAlignment="1">
      <alignment horizontal="left" vertical="center"/>
    </xf>
    <xf numFmtId="2" fontId="59" fillId="3" borderId="14" xfId="16" applyNumberFormat="1" applyFont="1" applyFill="1" applyBorder="1" applyAlignment="1">
      <alignment horizontal="left" vertical="center"/>
    </xf>
    <xf numFmtId="0" fontId="59" fillId="3" borderId="8" xfId="16" applyFont="1" applyFill="1" applyBorder="1" applyAlignment="1">
      <alignment horizontal="center" vertical="center"/>
    </xf>
    <xf numFmtId="0" fontId="5" fillId="2" borderId="33" xfId="0" applyFont="1" applyFill="1" applyBorder="1" applyAlignment="1">
      <alignment horizontal="left"/>
    </xf>
    <xf numFmtId="0" fontId="5" fillId="2" borderId="43" xfId="0" applyFont="1" applyFill="1" applyBorder="1" applyAlignment="1">
      <alignment horizontal="left"/>
    </xf>
    <xf numFmtId="0" fontId="5" fillId="2" borderId="6" xfId="0" applyFont="1" applyFill="1" applyBorder="1" applyAlignment="1">
      <alignment horizontal="left"/>
    </xf>
    <xf numFmtId="0" fontId="5" fillId="2" borderId="14" xfId="0" applyFont="1" applyFill="1" applyBorder="1" applyAlignment="1">
      <alignment horizontal="left"/>
    </xf>
    <xf numFmtId="0" fontId="5" fillId="2" borderId="22" xfId="0" applyFont="1" applyFill="1" applyBorder="1" applyAlignment="1">
      <alignment horizontal="left"/>
    </xf>
    <xf numFmtId="0" fontId="5" fillId="2" borderId="27" xfId="0" applyFont="1" applyFill="1" applyBorder="1" applyAlignment="1">
      <alignment horizontal="left"/>
    </xf>
    <xf numFmtId="0" fontId="53" fillId="3" borderId="3" xfId="0" applyFont="1" applyFill="1" applyBorder="1" applyAlignment="1">
      <alignment horizontal="center" vertical="center"/>
    </xf>
    <xf numFmtId="0" fontId="53" fillId="3" borderId="5" xfId="0" applyFont="1" applyFill="1" applyBorder="1" applyAlignment="1">
      <alignment horizontal="center" vertical="center"/>
    </xf>
    <xf numFmtId="0" fontId="53" fillId="3" borderId="7" xfId="0" applyFont="1" applyFill="1" applyBorder="1" applyAlignment="1">
      <alignment horizontal="center" vertical="center"/>
    </xf>
    <xf numFmtId="0" fontId="53" fillId="3" borderId="8" xfId="0" applyFont="1" applyFill="1" applyBorder="1" applyAlignment="1">
      <alignment horizontal="center" vertical="center"/>
    </xf>
    <xf numFmtId="0" fontId="66" fillId="3" borderId="18" xfId="0" applyFont="1" applyFill="1" applyBorder="1" applyAlignment="1">
      <alignment horizontal="left" vertical="center" wrapText="1"/>
    </xf>
    <xf numFmtId="0" fontId="66" fillId="3" borderId="0" xfId="0" applyFont="1" applyFill="1" applyAlignment="1">
      <alignment horizontal="left" vertical="center" wrapText="1"/>
    </xf>
    <xf numFmtId="0" fontId="59" fillId="3" borderId="1" xfId="0" applyFont="1" applyFill="1" applyBorder="1" applyAlignment="1">
      <alignment horizontal="center" vertical="center"/>
    </xf>
    <xf numFmtId="0" fontId="59" fillId="3" borderId="2" xfId="0" applyFont="1" applyFill="1" applyBorder="1" applyAlignment="1">
      <alignment horizontal="center" vertical="center"/>
    </xf>
    <xf numFmtId="0" fontId="53" fillId="2" borderId="50" xfId="0" applyFont="1" applyFill="1" applyBorder="1" applyAlignment="1">
      <alignment horizontal="center" vertical="center"/>
    </xf>
    <xf numFmtId="0" fontId="53" fillId="2" borderId="53" xfId="0" applyFont="1" applyFill="1" applyBorder="1" applyAlignment="1">
      <alignment horizontal="center" vertical="center"/>
    </xf>
    <xf numFmtId="0" fontId="53" fillId="2" borderId="52" xfId="0" applyFont="1" applyFill="1" applyBorder="1" applyAlignment="1">
      <alignment horizontal="center" vertical="center"/>
    </xf>
    <xf numFmtId="0" fontId="59" fillId="3" borderId="25" xfId="16" applyFont="1" applyFill="1" applyBorder="1" applyAlignment="1">
      <alignment horizontal="center" vertical="center"/>
    </xf>
    <xf numFmtId="0" fontId="59" fillId="3" borderId="40" xfId="16"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cellXfs>
  <cellStyles count="28">
    <cellStyle name="Euro" xfId="22" xr:uid="{00000000-0005-0000-0000-000033000000}"/>
    <cellStyle name="Excel Built-in Normal" xfId="15" xr:uid="{00000000-0005-0000-0000-00000F000000}"/>
    <cellStyle name="Hipervínculo" xfId="18" builtinId="8"/>
    <cellStyle name="Hipervínculo 2" xfId="14" xr:uid="{00000000-0005-0000-0000-00000E000000}"/>
    <cellStyle name="Millares" xfId="24" builtinId="3"/>
    <cellStyle name="Millares 2" xfId="13" xr:uid="{00000000-0005-0000-0000-00000D000000}"/>
    <cellStyle name="Millares 2 2" xfId="11" xr:uid="{00000000-0005-0000-0000-00000B000000}"/>
    <cellStyle name="Millares 2 3" xfId="10" xr:uid="{00000000-0005-0000-0000-00000A000000}"/>
    <cellStyle name="Millares 3" xfId="9" xr:uid="{00000000-0005-0000-0000-000009000000}"/>
    <cellStyle name="Millares 4" xfId="8" xr:uid="{00000000-0005-0000-0000-000008000000}"/>
    <cellStyle name="Millares 5" xfId="7" xr:uid="{00000000-0005-0000-0000-000007000000}"/>
    <cellStyle name="Moneda [0] 2" xfId="21" xr:uid="{00000000-0005-0000-0000-000030000000}"/>
    <cellStyle name="Moneda 2" xfId="6" xr:uid="{00000000-0005-0000-0000-000006000000}"/>
    <cellStyle name="Normal" xfId="0" builtinId="0"/>
    <cellStyle name="Normal 2" xfId="20" xr:uid="{00000000-0005-0000-0000-00002E000000}"/>
    <cellStyle name="Normal 2 2" xfId="16" xr:uid="{00000000-0005-0000-0000-000013000000}"/>
    <cellStyle name="Normal 2 3" xfId="25" xr:uid="{00000000-0005-0000-0000-000044000000}"/>
    <cellStyle name="Normal 3" xfId="23" xr:uid="{00000000-0005-0000-0000-00003A000000}"/>
    <cellStyle name="Normal 4" xfId="5" xr:uid="{00000000-0005-0000-0000-000005000000}"/>
    <cellStyle name="Normal 5" xfId="4" xr:uid="{00000000-0005-0000-0000-000004000000}"/>
    <cellStyle name="Normal 6" xfId="3" xr:uid="{00000000-0005-0000-0000-000003000000}"/>
    <cellStyle name="Normal 7" xfId="26" xr:uid="{00000000-0005-0000-0000-000046000000}"/>
    <cellStyle name="Normal 8" xfId="2" xr:uid="{00000000-0005-0000-0000-000002000000}"/>
    <cellStyle name="Normal 9" xfId="27" xr:uid="{2D76D4A7-FA93-4553-9B18-A68B75A79BD4}"/>
    <cellStyle name="Percent 2" xfId="1" xr:uid="{00000000-0005-0000-0000-000001000000}"/>
    <cellStyle name="Porcentaje" xfId="19" builtinId="5"/>
    <cellStyle name="Porcentaje 2" xfId="17" xr:uid="{00000000-0005-0000-0000-000016000000}"/>
    <cellStyle name="Porcentaje 2 2" xfId="12" xr:uid="{00000000-0005-0000-0000-00000C000000}"/>
  </cellStyles>
  <dxfs count="0"/>
  <tableStyles count="0" defaultTableStyle="TableStyleMedium2" defaultPivotStyle="PivotStyleLight16"/>
  <colors>
    <mruColors>
      <color rgb="FFEFECEA"/>
      <color rgb="FFDAF0F2"/>
      <color rgb="FFD8E6F0"/>
      <color rgb="FFCC0000"/>
      <color rgb="FFF9423A"/>
      <color rgb="FF2FB9CE"/>
      <color rgb="FF8CC63F"/>
      <color rgb="FF1E252B"/>
      <color rgb="FFB00000"/>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1155699</xdr:colOff>
      <xdr:row>49</xdr:row>
      <xdr:rowOff>222250</xdr:rowOff>
    </xdr:from>
    <xdr:to>
      <xdr:col>7</xdr:col>
      <xdr:colOff>1191352</xdr:colOff>
      <xdr:row>53</xdr:row>
      <xdr:rowOff>44451</xdr:rowOff>
    </xdr:to>
    <xdr:pic>
      <xdr:nvPicPr>
        <xdr:cNvPr id="2" name="Imagen 1">
          <a:extLst>
            <a:ext uri="{FF2B5EF4-FFF2-40B4-BE49-F238E27FC236}">
              <a16:creationId xmlns:a16="http://schemas.microsoft.com/office/drawing/2014/main" id="{911B8D17-474D-43D7-BE9E-C7082C62B90F}"/>
            </a:ext>
          </a:extLst>
        </xdr:cNvPr>
        <xdr:cNvPicPr>
          <a:picLocks noChangeAspect="1"/>
        </xdr:cNvPicPr>
      </xdr:nvPicPr>
      <xdr:blipFill rotWithShape="1">
        <a:blip xmlns:r="http://schemas.openxmlformats.org/officeDocument/2006/relationships" r:embed="rId1"/>
        <a:srcRect t="14594" b="13169"/>
        <a:stretch/>
      </xdr:blipFill>
      <xdr:spPr>
        <a:xfrm>
          <a:off x="8680449" y="13862050"/>
          <a:ext cx="2870928" cy="73977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abriela Marie Santamaría George" id="{5762BB7B-D1CC-4F2F-AC15-1EF39E6D8D19}" userId="S::gsantamaria@miambiente.gob.pa::b844bd3e-73a7-45b0-908c-54637b96342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95" dT="2026-06-11T19:02:29.30" personId="{5762BB7B-D1CC-4F2F-AC15-1EF39E6D8D19}" id="{1E9E0D09-D7B9-4D80-B18B-37DF2B908545}">
    <text>Agregar otra línea igualita</text>
  </threadedComment>
</ThreadedComments>
</file>

<file path=xl/threadedComments/threadedComment2.xml><?xml version="1.0" encoding="utf-8"?>
<ThreadedComments xmlns="http://schemas.microsoft.com/office/spreadsheetml/2018/threadedcomments" xmlns:x="http://schemas.openxmlformats.org/spreadsheetml/2006/main">
  <threadedComment ref="C47" dT="2026-06-09T15:09:38.89" personId="{5762BB7B-D1CC-4F2F-AC15-1EF39E6D8D19}" id="{0D567DD3-3329-4592-90D4-E69D446C0855}">
    <text>BCEFr</text>
  </threadedComment>
  <threadedComment ref="C47" dT="2026-06-09T15:09:47.99" personId="{5762BB7B-D1CC-4F2F-AC15-1EF39E6D8D19}" id="{740E74C2-61D9-4371-AB82-7BC9E5C418CC}" parentId="{0D567DD3-3329-4592-90D4-E69D446C0855}">
    <text>La r va en mayúscula pero chiquita</text>
  </threadedComment>
</ThreadedComments>
</file>

<file path=xl/threadedComments/threadedComment3.xml><?xml version="1.0" encoding="utf-8"?>
<ThreadedComments xmlns="http://schemas.microsoft.com/office/spreadsheetml/2018/threadedcomments" xmlns:x="http://schemas.openxmlformats.org/spreadsheetml/2006/main">
  <threadedComment ref="E46" dT="2026-06-11T18:34:18.87" personId="{5762BB7B-D1CC-4F2F-AC15-1EF39E6D8D19}" id="{5235A15E-2D38-4CA9-8A25-AE97C27477E7}">
    <text>Construir otra tabla con la tabla de “Factores de conversión BCEFR”</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gas-servei.com/images/Ficha-tecnica-R404A.pdf"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2FB9CE"/>
  </sheetPr>
  <dimension ref="A1:EX440"/>
  <sheetViews>
    <sheetView tabSelected="1" zoomScale="70" zoomScaleNormal="70" workbookViewId="0">
      <selection activeCell="C7" sqref="C7:E7"/>
    </sheetView>
  </sheetViews>
  <sheetFormatPr baseColWidth="10" defaultColWidth="11.46484375" defaultRowHeight="14.25"/>
  <cols>
    <col min="1" max="1" width="5.46484375" style="20" customWidth="1"/>
    <col min="2" max="2" width="37.86328125" style="28" customWidth="1"/>
    <col min="3" max="3" width="28.46484375" style="28" customWidth="1"/>
    <col min="4" max="4" width="41.86328125" style="28" bestFit="1" customWidth="1"/>
    <col min="5" max="5" width="30" style="28" customWidth="1"/>
    <col min="6" max="6" width="21.1328125" style="28" customWidth="1"/>
    <col min="7" max="7" width="22.86328125" style="28" customWidth="1"/>
    <col min="8" max="12" width="25.46484375" style="28" customWidth="1"/>
    <col min="13" max="13" width="30.265625" style="28" customWidth="1"/>
    <col min="14" max="18" width="25.46484375" style="28" customWidth="1"/>
    <col min="19" max="19" width="16.46484375" style="28" customWidth="1"/>
    <col min="20" max="20" width="10" style="28" customWidth="1"/>
    <col min="21" max="21" width="13.46484375" style="28" hidden="1" customWidth="1"/>
    <col min="22" max="22" width="13" style="28" hidden="1" customWidth="1"/>
    <col min="23" max="23" width="11.46484375" style="28" hidden="1" customWidth="1"/>
    <col min="24" max="24" width="20.265625" style="32" hidden="1" customWidth="1"/>
    <col min="25" max="25" width="17" style="28" hidden="1" customWidth="1"/>
    <col min="26" max="26" width="11.46484375" style="28" customWidth="1"/>
    <col min="27" max="27" width="20.46484375" style="28" customWidth="1"/>
    <col min="28" max="28" width="19.59765625" style="33" customWidth="1"/>
    <col min="29" max="29" width="16.1328125" style="28" customWidth="1"/>
    <col min="30" max="30" width="13.86328125" style="34" customWidth="1"/>
    <col min="31" max="31" width="14" style="34" customWidth="1"/>
    <col min="32" max="32" width="15.86328125" style="28" customWidth="1"/>
    <col min="33" max="33" width="12.86328125" style="34" hidden="1" customWidth="1"/>
    <col min="34" max="34" width="11.46484375" style="35" customWidth="1"/>
    <col min="35" max="35" width="21.73046875" style="28" customWidth="1"/>
    <col min="36" max="36" width="17.1328125" style="36" customWidth="1"/>
    <col min="37" max="37" width="17.1328125" style="28" customWidth="1"/>
    <col min="38" max="39" width="12.86328125" style="37" customWidth="1"/>
    <col min="40" max="40" width="16.73046875" style="28" customWidth="1"/>
    <col min="41" max="41" width="12.86328125" style="34" hidden="1" customWidth="1"/>
    <col min="42" max="42" width="17.1328125" style="28" customWidth="1"/>
    <col min="43" max="43" width="20.46484375" style="28" customWidth="1"/>
    <col min="44" max="44" width="17" style="36" customWidth="1"/>
    <col min="45" max="45" width="17" style="28" customWidth="1"/>
    <col min="46" max="47" width="12.86328125" style="28" customWidth="1"/>
    <col min="48" max="48" width="16.1328125" style="28" customWidth="1"/>
    <col min="49" max="49" width="15.1328125" style="34" hidden="1" customWidth="1"/>
    <col min="50" max="50" width="11.46484375" style="28" customWidth="1"/>
    <col min="51" max="51" width="20.46484375" style="28" customWidth="1"/>
    <col min="52" max="52" width="16.1328125" style="36" customWidth="1"/>
    <col min="53" max="53" width="16.1328125" style="28" customWidth="1"/>
    <col min="54" max="54" width="12.86328125" style="34" customWidth="1"/>
    <col min="55" max="55" width="17.265625" style="28" customWidth="1"/>
    <col min="56" max="56" width="12.86328125" style="34" customWidth="1"/>
    <col min="57" max="57" width="11.46484375" style="28" customWidth="1"/>
    <col min="58" max="58" width="20.46484375" style="28" customWidth="1"/>
    <col min="59" max="59" width="16.1328125" style="36" customWidth="1"/>
    <col min="60" max="60" width="16.1328125" style="28" customWidth="1"/>
    <col min="61" max="61" width="12.86328125" style="34" customWidth="1"/>
    <col min="62" max="62" width="17.265625" style="28" customWidth="1"/>
    <col min="63" max="63" width="12.86328125" style="34" customWidth="1"/>
    <col min="64" max="64" width="15.86328125" style="28" customWidth="1"/>
    <col min="65" max="65" width="20.46484375" style="28" customWidth="1"/>
    <col min="66" max="66" width="16.46484375" style="36" customWidth="1"/>
    <col min="67" max="67" width="16.46484375" style="28" customWidth="1"/>
    <col min="68" max="68" width="23.73046875" style="34" customWidth="1"/>
    <col min="69" max="69" width="22.46484375" style="34" customWidth="1"/>
    <col min="70" max="70" width="17" style="28" customWidth="1"/>
    <col min="71" max="71" width="12.86328125" style="34" hidden="1" customWidth="1"/>
    <col min="72" max="72" width="11.46484375" style="28" customWidth="1"/>
    <col min="73" max="73" width="20.46484375" style="28" customWidth="1"/>
    <col min="74" max="74" width="16.46484375" style="36" customWidth="1"/>
    <col min="75" max="75" width="16.46484375" style="28" customWidth="1"/>
    <col min="76" max="76" width="17" style="34" customWidth="1"/>
    <col min="77" max="77" width="17" style="28" customWidth="1"/>
    <col min="78" max="78" width="12.86328125" style="34" hidden="1" customWidth="1"/>
    <col min="79" max="79" width="43.73046875" style="28" bestFit="1" customWidth="1"/>
    <col min="80" max="80" width="25.265625" style="28" hidden="1" customWidth="1"/>
    <col min="81" max="81" width="16.46484375" style="38" customWidth="1"/>
    <col min="82" max="82" width="52.86328125" style="29" customWidth="1"/>
    <col min="83" max="83" width="18.46484375" style="39" customWidth="1"/>
    <col min="84" max="85" width="16.73046875" style="39" customWidth="1"/>
    <col min="86" max="87" width="11.73046875" style="40" customWidth="1"/>
    <col min="88" max="88" width="18.46484375" style="40" customWidth="1"/>
    <col min="89" max="89" width="16.265625" style="39" customWidth="1"/>
    <col min="90" max="90" width="16" style="39" customWidth="1"/>
    <col min="91" max="91" width="13.46484375" style="39" customWidth="1"/>
    <col min="92" max="93" width="11.73046875" style="39" customWidth="1"/>
    <col min="94" max="94" width="14.86328125" style="39" customWidth="1"/>
    <col min="95" max="95" width="14.46484375" style="39" customWidth="1"/>
    <col min="96" max="99" width="11.73046875" style="39" customWidth="1"/>
    <col min="100" max="100" width="14.86328125" style="39" customWidth="1"/>
    <col min="101" max="101" width="11.73046875" style="41" customWidth="1"/>
    <col min="102" max="103" width="11.73046875" style="39" customWidth="1"/>
    <col min="104" max="105" width="11.73046875" style="41" customWidth="1"/>
    <col min="106" max="106" width="14.86328125" style="41" customWidth="1"/>
    <col min="107" max="107" width="11.73046875" style="41" customWidth="1"/>
    <col min="108" max="109" width="11.73046875" style="39" customWidth="1"/>
    <col min="110" max="111" width="11.73046875" style="41" customWidth="1"/>
    <col min="112" max="112" width="14.86328125" style="41" customWidth="1"/>
    <col min="113" max="113" width="11.73046875" style="42" customWidth="1"/>
    <col min="114" max="115" width="11.73046875" style="43" customWidth="1"/>
    <col min="116" max="119" width="11.73046875" style="30" customWidth="1"/>
    <col min="120" max="120" width="42.46484375" style="30" bestFit="1" customWidth="1"/>
    <col min="121" max="121" width="11.46484375" style="30" customWidth="1"/>
    <col min="122" max="122" width="24.265625" style="30" customWidth="1"/>
    <col min="123" max="127" width="11.46484375" style="30" customWidth="1"/>
    <col min="128" max="128" width="30.1328125" style="30" customWidth="1"/>
    <col min="129" max="129" width="11.46484375" style="30" customWidth="1"/>
    <col min="130" max="130" width="44.1328125" style="30" customWidth="1"/>
    <col min="131" max="131" width="21.46484375" style="30" bestFit="1" customWidth="1"/>
    <col min="132" max="132" width="42.46484375" style="30" bestFit="1" customWidth="1"/>
    <col min="133" max="133" width="62.46484375" style="30" bestFit="1" customWidth="1"/>
    <col min="134" max="134" width="49.46484375" style="30" bestFit="1" customWidth="1"/>
    <col min="135" max="136" width="11.46484375" style="30"/>
    <col min="137" max="137" width="57.86328125" style="30" bestFit="1" customWidth="1"/>
    <col min="138" max="138" width="13.46484375" style="30" customWidth="1"/>
    <col min="139" max="139" width="43.46484375" style="30" bestFit="1" customWidth="1"/>
    <col min="140" max="140" width="11.46484375" style="30"/>
    <col min="141" max="141" width="51.46484375" style="30" customWidth="1"/>
    <col min="142" max="146" width="20.46484375" style="30" customWidth="1"/>
    <col min="147" max="151" width="20.46484375" style="31" customWidth="1"/>
    <col min="152" max="154" width="11.46484375" style="31"/>
    <col min="155" max="16384" width="11.46484375" style="28"/>
  </cols>
  <sheetData>
    <row r="1" spans="1:81" s="20" customFormat="1" ht="27" customHeight="1" thickBot="1">
      <c r="B1" s="26" t="s">
        <v>0</v>
      </c>
      <c r="C1" s="26"/>
      <c r="D1" s="26"/>
      <c r="E1" s="26"/>
      <c r="F1" s="27"/>
      <c r="G1" s="27"/>
      <c r="H1" s="27"/>
      <c r="I1" s="27"/>
      <c r="J1" s="27"/>
      <c r="K1" s="27"/>
      <c r="L1" s="27"/>
      <c r="M1" s="27"/>
      <c r="N1" s="27"/>
      <c r="O1" s="27"/>
      <c r="P1" s="27"/>
      <c r="Q1" s="27"/>
      <c r="R1" s="27"/>
      <c r="S1" s="27"/>
      <c r="T1" s="44"/>
      <c r="U1" s="27"/>
      <c r="V1" s="27"/>
      <c r="W1" s="27"/>
      <c r="X1" s="45"/>
      <c r="Y1" s="46"/>
      <c r="Z1" s="26"/>
      <c r="AA1" s="26"/>
      <c r="AB1" s="47"/>
      <c r="AC1" s="46"/>
      <c r="AD1" s="48"/>
      <c r="AE1" s="48"/>
      <c r="AF1" s="46"/>
      <c r="AG1" s="48"/>
      <c r="AH1" s="49"/>
      <c r="AI1" s="26"/>
      <c r="AJ1" s="50"/>
      <c r="AK1" s="46"/>
      <c r="AL1" s="51"/>
      <c r="AM1" s="51"/>
      <c r="AN1" s="46"/>
      <c r="AO1" s="48"/>
      <c r="AP1" s="26"/>
      <c r="AQ1" s="26"/>
      <c r="AR1" s="50"/>
      <c r="AS1" s="46"/>
      <c r="AT1" s="46"/>
      <c r="AU1" s="46"/>
      <c r="AV1" s="46"/>
      <c r="AW1" s="48"/>
      <c r="AX1" s="26"/>
      <c r="AY1" s="26"/>
      <c r="AZ1" s="50"/>
      <c r="BA1" s="46"/>
      <c r="BB1" s="48"/>
      <c r="BC1" s="46"/>
      <c r="BD1" s="48"/>
      <c r="BE1" s="26"/>
      <c r="BF1" s="26"/>
      <c r="BG1" s="50"/>
      <c r="BH1" s="46"/>
      <c r="BI1" s="48"/>
      <c r="BJ1" s="46"/>
      <c r="BK1" s="48"/>
      <c r="BL1" s="26"/>
      <c r="BM1" s="26"/>
      <c r="BN1" s="50"/>
      <c r="BO1" s="46"/>
      <c r="BP1" s="48"/>
      <c r="BQ1" s="48"/>
      <c r="BR1" s="46"/>
      <c r="BS1" s="48"/>
      <c r="BT1" s="26"/>
      <c r="BU1" s="26"/>
      <c r="BV1" s="50"/>
      <c r="BW1" s="46"/>
      <c r="BX1" s="48"/>
      <c r="BY1" s="46"/>
      <c r="BZ1" s="48"/>
      <c r="CA1" s="27"/>
      <c r="CB1" s="46"/>
      <c r="CC1" s="38"/>
    </row>
    <row r="2" spans="1:81" ht="18.75" customHeight="1">
      <c r="B2" s="740" t="s">
        <v>1</v>
      </c>
      <c r="C2" s="741"/>
      <c r="D2" s="741"/>
      <c r="E2" s="741"/>
      <c r="F2" s="741"/>
      <c r="G2" s="741"/>
      <c r="H2" s="741"/>
      <c r="I2" s="741"/>
      <c r="J2" s="741"/>
      <c r="K2" s="741"/>
      <c r="L2" s="741"/>
      <c r="M2" s="741"/>
      <c r="N2" s="742"/>
      <c r="O2" s="27"/>
      <c r="P2" s="27"/>
      <c r="Q2" s="27"/>
      <c r="R2" s="27"/>
      <c r="S2" s="27"/>
      <c r="T2" s="27"/>
      <c r="U2" s="27"/>
      <c r="V2" s="27"/>
      <c r="W2" s="27"/>
      <c r="X2" s="27"/>
      <c r="Y2" s="27"/>
      <c r="Z2" s="178"/>
      <c r="AA2" s="179"/>
      <c r="AB2" s="180"/>
      <c r="AC2" s="181"/>
      <c r="AD2" s="182"/>
      <c r="AE2" s="182"/>
      <c r="AF2" s="181"/>
      <c r="AG2" s="182"/>
      <c r="AH2" s="183"/>
      <c r="AI2" s="179"/>
      <c r="AJ2" s="180"/>
      <c r="AK2" s="181"/>
      <c r="AL2" s="184"/>
      <c r="AM2" s="184"/>
      <c r="AN2" s="181"/>
      <c r="AO2" s="182"/>
      <c r="AP2" s="178"/>
      <c r="AQ2" s="179"/>
      <c r="AR2" s="180"/>
      <c r="AS2" s="181"/>
      <c r="AT2" s="181"/>
      <c r="AU2" s="181"/>
      <c r="AV2" s="181"/>
      <c r="AW2" s="182"/>
      <c r="AX2" s="178"/>
      <c r="AY2" s="179"/>
      <c r="AZ2" s="180"/>
      <c r="BA2" s="181"/>
      <c r="BB2" s="182"/>
      <c r="BC2" s="181"/>
      <c r="BD2" s="182"/>
      <c r="BE2" s="178"/>
      <c r="BF2" s="179"/>
      <c r="BG2" s="180"/>
      <c r="BH2" s="181"/>
      <c r="BI2" s="182"/>
      <c r="BJ2" s="181"/>
      <c r="BK2" s="182"/>
      <c r="BL2" s="178"/>
      <c r="BM2" s="179"/>
      <c r="BN2" s="180"/>
      <c r="BO2" s="181"/>
      <c r="BP2" s="182"/>
      <c r="BQ2" s="182"/>
      <c r="BR2" s="181"/>
      <c r="BS2" s="182"/>
      <c r="BT2" s="178"/>
      <c r="BU2" s="179"/>
      <c r="BV2" s="180"/>
      <c r="BW2" s="181"/>
      <c r="BX2" s="182"/>
      <c r="BY2" s="181"/>
      <c r="BZ2" s="182"/>
      <c r="CA2" s="185"/>
      <c r="CB2" s="186"/>
    </row>
    <row r="3" spans="1:81" ht="28.5" customHeight="1" thickBot="1">
      <c r="B3" s="743"/>
      <c r="C3" s="744"/>
      <c r="D3" s="744"/>
      <c r="E3" s="744"/>
      <c r="F3" s="744"/>
      <c r="G3" s="744"/>
      <c r="H3" s="744"/>
      <c r="I3" s="744"/>
      <c r="J3" s="744"/>
      <c r="K3" s="744"/>
      <c r="L3" s="744"/>
      <c r="M3" s="744"/>
      <c r="N3" s="745"/>
      <c r="O3" s="27"/>
      <c r="P3" s="27"/>
      <c r="Q3" s="27"/>
      <c r="R3" s="27"/>
      <c r="S3" s="27"/>
      <c r="T3" s="27"/>
      <c r="U3" s="27"/>
      <c r="V3" s="27"/>
      <c r="W3" s="27"/>
      <c r="X3" s="27"/>
      <c r="Y3" s="27"/>
      <c r="Z3" s="187"/>
      <c r="AA3" s="188"/>
      <c r="AB3" s="189"/>
      <c r="AC3" s="190"/>
      <c r="AD3" s="191"/>
      <c r="AE3" s="191"/>
      <c r="AF3" s="190"/>
      <c r="AG3" s="191"/>
      <c r="AH3" s="192"/>
      <c r="AI3" s="188"/>
      <c r="AJ3" s="189"/>
      <c r="AK3" s="190"/>
      <c r="AL3" s="193"/>
      <c r="AM3" s="193"/>
      <c r="AN3" s="190"/>
      <c r="AO3" s="191"/>
      <c r="AP3" s="187"/>
      <c r="AQ3" s="188"/>
      <c r="AR3" s="189"/>
      <c r="AS3" s="190"/>
      <c r="AT3" s="190"/>
      <c r="AU3" s="190"/>
      <c r="AV3" s="190"/>
      <c r="AW3" s="191"/>
      <c r="AX3" s="187"/>
      <c r="AY3" s="188"/>
      <c r="AZ3" s="189"/>
      <c r="BA3" s="190"/>
      <c r="BB3" s="191"/>
      <c r="BC3" s="190"/>
      <c r="BD3" s="191"/>
      <c r="BE3" s="187"/>
      <c r="BF3" s="188"/>
      <c r="BG3" s="189"/>
      <c r="BH3" s="190"/>
      <c r="BI3" s="191"/>
      <c r="BJ3" s="190"/>
      <c r="BK3" s="191"/>
      <c r="BL3" s="187"/>
      <c r="BM3" s="188"/>
      <c r="BN3" s="189"/>
      <c r="BO3" s="190"/>
      <c r="BP3" s="191"/>
      <c r="BQ3" s="191"/>
      <c r="BR3" s="190"/>
      <c r="BS3" s="191"/>
      <c r="BT3" s="187"/>
      <c r="BU3" s="188"/>
      <c r="BV3" s="189"/>
      <c r="BW3" s="190"/>
      <c r="BX3" s="191"/>
      <c r="BY3" s="190"/>
      <c r="BZ3" s="191"/>
      <c r="CA3" s="194"/>
      <c r="CB3" s="181"/>
    </row>
    <row r="4" spans="1:81" s="20" customFormat="1" ht="19.5" customHeight="1" thickBot="1">
      <c r="B4" s="179"/>
      <c r="C4" s="179"/>
      <c r="D4" s="179"/>
      <c r="E4" s="195"/>
      <c r="F4" s="26"/>
      <c r="G4" s="27"/>
      <c r="H4" s="27"/>
      <c r="I4" s="27"/>
      <c r="J4" s="27"/>
      <c r="K4" s="27"/>
      <c r="L4" s="27"/>
      <c r="M4" s="27"/>
      <c r="N4" s="27"/>
      <c r="O4" s="27"/>
      <c r="P4" s="27"/>
      <c r="Q4" s="27"/>
      <c r="R4" s="27"/>
      <c r="S4" s="27"/>
      <c r="T4" s="27"/>
      <c r="U4" s="27"/>
      <c r="V4" s="27"/>
      <c r="W4" s="27"/>
      <c r="X4" s="27"/>
      <c r="Y4" s="27"/>
      <c r="Z4" s="26"/>
      <c r="AA4" s="26"/>
      <c r="AB4" s="47"/>
      <c r="AC4" s="46"/>
      <c r="AD4" s="48"/>
      <c r="AE4" s="48"/>
      <c r="AF4" s="46"/>
      <c r="AG4" s="48"/>
      <c r="AH4" s="49"/>
      <c r="AI4" s="26"/>
      <c r="AJ4" s="50"/>
      <c r="AK4" s="46"/>
      <c r="AL4" s="51"/>
      <c r="AM4" s="51"/>
      <c r="AN4" s="46"/>
      <c r="AO4" s="48"/>
      <c r="AP4" s="26"/>
      <c r="AQ4" s="26"/>
      <c r="AR4" s="50"/>
      <c r="AS4" s="46"/>
      <c r="AT4" s="46"/>
      <c r="AU4" s="46"/>
      <c r="AV4" s="46"/>
      <c r="AW4" s="48"/>
      <c r="AX4" s="26"/>
      <c r="AY4" s="26"/>
      <c r="AZ4" s="50"/>
      <c r="BA4" s="46"/>
      <c r="BB4" s="48"/>
      <c r="BC4" s="46"/>
      <c r="BD4" s="48"/>
      <c r="BE4" s="26"/>
      <c r="BF4" s="26"/>
      <c r="BG4" s="50"/>
      <c r="BH4" s="46"/>
      <c r="BI4" s="48"/>
      <c r="BJ4" s="46"/>
      <c r="BK4" s="48"/>
      <c r="BL4" s="26"/>
      <c r="BM4" s="26"/>
      <c r="BN4" s="50"/>
      <c r="BO4" s="46"/>
      <c r="BP4" s="48"/>
      <c r="BQ4" s="48"/>
      <c r="BR4" s="46"/>
      <c r="BS4" s="48"/>
      <c r="BT4" s="26"/>
      <c r="BU4" s="26"/>
      <c r="BV4" s="50"/>
      <c r="BW4" s="46"/>
      <c r="BX4" s="48"/>
      <c r="BY4" s="46"/>
      <c r="BZ4" s="48"/>
      <c r="CA4" s="591"/>
      <c r="CB4" s="592"/>
      <c r="CC4" s="38"/>
    </row>
    <row r="5" spans="1:81" ht="18.75" customHeight="1" thickBot="1">
      <c r="B5" s="771" t="s">
        <v>2</v>
      </c>
      <c r="C5" s="772"/>
      <c r="D5" s="772"/>
      <c r="E5" s="772"/>
      <c r="F5" s="772"/>
      <c r="G5" s="772"/>
      <c r="H5" s="772"/>
      <c r="I5" s="772"/>
      <c r="J5" s="772"/>
      <c r="K5" s="772"/>
      <c r="L5" s="772"/>
      <c r="M5" s="772"/>
      <c r="N5" s="773"/>
      <c r="O5" s="27"/>
      <c r="P5" s="27"/>
      <c r="Q5" s="27"/>
      <c r="R5" s="27"/>
      <c r="S5" s="27"/>
      <c r="T5" s="27"/>
      <c r="U5" s="27"/>
      <c r="V5" s="27"/>
      <c r="W5" s="27"/>
      <c r="X5" s="27"/>
      <c r="Y5" s="27"/>
      <c r="Z5" s="27"/>
      <c r="AA5" s="27"/>
      <c r="AB5" s="47"/>
      <c r="AC5" s="27"/>
      <c r="AD5" s="27"/>
      <c r="AE5" s="27"/>
      <c r="AF5" s="27"/>
      <c r="AG5" s="27"/>
      <c r="AH5" s="27"/>
      <c r="AI5" s="27"/>
      <c r="AJ5" s="50"/>
      <c r="AK5" s="27"/>
      <c r="AL5" s="27"/>
      <c r="AM5" s="27"/>
      <c r="AN5" s="27"/>
      <c r="AO5" s="27"/>
      <c r="AP5" s="27"/>
      <c r="AQ5" s="27"/>
      <c r="AR5" s="50"/>
      <c r="AS5" s="27"/>
      <c r="AT5" s="27"/>
      <c r="AU5" s="27"/>
      <c r="AV5" s="27"/>
      <c r="AW5" s="27"/>
      <c r="AX5" s="27"/>
      <c r="AY5" s="27"/>
      <c r="AZ5" s="50"/>
      <c r="BA5" s="27"/>
      <c r="BB5" s="26"/>
      <c r="BC5" s="26"/>
      <c r="BD5" s="26"/>
      <c r="BE5" s="27"/>
      <c r="BF5" s="27"/>
      <c r="BG5" s="50"/>
      <c r="BH5" s="27"/>
      <c r="BI5" s="26"/>
      <c r="BJ5" s="26"/>
      <c r="BK5" s="26"/>
      <c r="BL5" s="26"/>
      <c r="BM5" s="26"/>
      <c r="BN5" s="50"/>
      <c r="BO5" s="26"/>
      <c r="BP5" s="26"/>
      <c r="BQ5" s="26"/>
      <c r="BR5" s="26"/>
      <c r="BS5" s="26"/>
      <c r="BT5" s="26"/>
      <c r="BU5" s="26"/>
      <c r="BV5" s="50"/>
      <c r="BW5" s="26"/>
      <c r="BX5" s="26"/>
      <c r="BY5" s="26"/>
      <c r="BZ5" s="26"/>
      <c r="CA5" s="26"/>
      <c r="CB5" s="26"/>
    </row>
    <row r="6" spans="1:81">
      <c r="B6" s="196" t="s">
        <v>3</v>
      </c>
      <c r="C6" s="774"/>
      <c r="D6" s="775"/>
      <c r="E6" s="776"/>
      <c r="F6" s="777" t="s">
        <v>4</v>
      </c>
      <c r="G6" s="778"/>
      <c r="H6" s="774"/>
      <c r="I6" s="775"/>
      <c r="J6" s="775"/>
      <c r="K6" s="775"/>
      <c r="L6" s="775"/>
      <c r="M6" s="775"/>
      <c r="N6" s="776"/>
      <c r="O6" s="27"/>
      <c r="P6" s="27"/>
      <c r="Q6" s="27"/>
      <c r="R6" s="27"/>
      <c r="S6" s="27"/>
      <c r="T6" s="27"/>
      <c r="U6" s="27"/>
      <c r="V6" s="27"/>
      <c r="W6" s="27"/>
      <c r="X6" s="27"/>
      <c r="Y6" s="27"/>
      <c r="Z6" s="27"/>
      <c r="AA6" s="27"/>
      <c r="AB6" s="47"/>
      <c r="AC6" s="27"/>
      <c r="AD6" s="27"/>
      <c r="AE6" s="27"/>
      <c r="AF6" s="27"/>
      <c r="AG6" s="27"/>
      <c r="AH6" s="27"/>
      <c r="AI6" s="27"/>
      <c r="AJ6" s="50"/>
      <c r="AK6" s="27"/>
      <c r="AL6" s="27"/>
      <c r="AM6" s="27"/>
      <c r="AN6" s="27"/>
      <c r="AO6" s="27"/>
      <c r="AP6" s="27"/>
      <c r="AQ6" s="27"/>
      <c r="AR6" s="50"/>
      <c r="AS6" s="27"/>
      <c r="AT6" s="27"/>
      <c r="AU6" s="27"/>
      <c r="AV6" s="27"/>
      <c r="AW6" s="27"/>
      <c r="AX6" s="27"/>
      <c r="AY6" s="27"/>
      <c r="AZ6" s="50"/>
      <c r="BA6" s="27"/>
      <c r="BB6" s="26"/>
      <c r="BC6" s="26"/>
      <c r="BD6" s="26"/>
      <c r="BE6" s="27"/>
      <c r="BF6" s="27"/>
      <c r="BG6" s="50"/>
      <c r="BH6" s="27"/>
      <c r="BI6" s="26"/>
      <c r="BJ6" s="26"/>
      <c r="BK6" s="26"/>
      <c r="BL6" s="26"/>
      <c r="BM6" s="26"/>
      <c r="BN6" s="50"/>
      <c r="BO6" s="26"/>
      <c r="BP6" s="26"/>
      <c r="BQ6" s="26"/>
      <c r="BR6" s="26"/>
      <c r="BS6" s="26"/>
      <c r="BT6" s="26"/>
      <c r="BU6" s="26"/>
      <c r="BV6" s="50"/>
      <c r="BW6" s="26"/>
      <c r="BX6" s="26"/>
      <c r="BY6" s="26"/>
      <c r="BZ6" s="26"/>
      <c r="CA6" s="26"/>
      <c r="CB6" s="26"/>
    </row>
    <row r="7" spans="1:81" ht="16.5" customHeight="1">
      <c r="B7" s="197" t="s">
        <v>5</v>
      </c>
      <c r="C7" s="779"/>
      <c r="D7" s="780"/>
      <c r="E7" s="781"/>
      <c r="F7" s="782" t="s">
        <v>6</v>
      </c>
      <c r="G7" s="783"/>
      <c r="H7" s="779"/>
      <c r="I7" s="780"/>
      <c r="J7" s="780"/>
      <c r="K7" s="780"/>
      <c r="L7" s="780"/>
      <c r="M7" s="780"/>
      <c r="N7" s="781"/>
      <c r="O7" s="27"/>
      <c r="P7" s="27"/>
      <c r="Q7" s="27"/>
      <c r="R7" s="27"/>
      <c r="S7" s="27"/>
      <c r="T7" s="27"/>
      <c r="U7" s="27"/>
      <c r="V7" s="27"/>
      <c r="W7" s="27"/>
      <c r="X7" s="27"/>
      <c r="Y7" s="27"/>
      <c r="Z7" s="27"/>
      <c r="AA7" s="27"/>
      <c r="AB7" s="47"/>
      <c r="AC7" s="27"/>
      <c r="AD7" s="27"/>
      <c r="AE7" s="27"/>
      <c r="AF7" s="27"/>
      <c r="AG7" s="27"/>
      <c r="AH7" s="27"/>
      <c r="AI7" s="27"/>
      <c r="AJ7" s="50"/>
      <c r="AK7" s="27"/>
      <c r="AL7" s="27"/>
      <c r="AM7" s="27"/>
      <c r="AN7" s="27"/>
      <c r="AO7" s="27"/>
      <c r="AP7" s="27"/>
      <c r="AQ7" s="27"/>
      <c r="AR7" s="50"/>
      <c r="AS7" s="27"/>
      <c r="AT7" s="27"/>
      <c r="AU7" s="27"/>
      <c r="AV7" s="27"/>
      <c r="AW7" s="27"/>
      <c r="AX7" s="27"/>
      <c r="AY7" s="27"/>
      <c r="AZ7" s="50"/>
      <c r="BA7" s="27"/>
      <c r="BB7" s="26"/>
      <c r="BC7" s="26"/>
      <c r="BD7" s="26"/>
      <c r="BE7" s="27"/>
      <c r="BF7" s="27"/>
      <c r="BG7" s="50"/>
      <c r="BH7" s="27"/>
      <c r="BI7" s="26"/>
      <c r="BJ7" s="26"/>
      <c r="BK7" s="26"/>
      <c r="BL7" s="26"/>
      <c r="BM7" s="26"/>
      <c r="BN7" s="50"/>
      <c r="BO7" s="26"/>
      <c r="BP7" s="26"/>
      <c r="BQ7" s="26"/>
      <c r="BR7" s="26"/>
      <c r="BS7" s="26"/>
      <c r="BT7" s="26"/>
      <c r="BU7" s="26"/>
      <c r="BV7" s="50"/>
      <c r="BW7" s="26"/>
      <c r="BX7" s="26"/>
      <c r="BY7" s="26"/>
      <c r="BZ7" s="26"/>
      <c r="CA7" s="26"/>
      <c r="CB7" s="26"/>
    </row>
    <row r="8" spans="1:81" ht="16.5" customHeight="1">
      <c r="B8" s="197" t="s">
        <v>7</v>
      </c>
      <c r="C8" s="779"/>
      <c r="D8" s="780"/>
      <c r="E8" s="781"/>
      <c r="F8" s="782" t="s">
        <v>8</v>
      </c>
      <c r="G8" s="783"/>
      <c r="H8" s="779"/>
      <c r="I8" s="780"/>
      <c r="J8" s="780"/>
      <c r="K8" s="780"/>
      <c r="L8" s="780"/>
      <c r="M8" s="780"/>
      <c r="N8" s="781"/>
      <c r="O8" s="27"/>
      <c r="P8" s="27"/>
      <c r="Q8" s="27"/>
      <c r="R8" s="27"/>
      <c r="S8" s="27"/>
      <c r="T8" s="27"/>
      <c r="U8" s="27"/>
      <c r="V8" s="27"/>
      <c r="W8" s="27"/>
      <c r="X8" s="27"/>
      <c r="Y8" s="27"/>
      <c r="Z8" s="27"/>
      <c r="AA8" s="27"/>
      <c r="AB8" s="47"/>
      <c r="AC8" s="27"/>
      <c r="AD8" s="27"/>
      <c r="AE8" s="27"/>
      <c r="AF8" s="27"/>
      <c r="AG8" s="27"/>
      <c r="AH8" s="27"/>
      <c r="AI8" s="27"/>
      <c r="AJ8" s="50"/>
      <c r="AK8" s="27"/>
      <c r="AL8" s="27"/>
      <c r="AM8" s="27"/>
      <c r="AN8" s="27"/>
      <c r="AO8" s="27"/>
      <c r="AP8" s="27"/>
      <c r="AQ8" s="27"/>
      <c r="AR8" s="50"/>
      <c r="AS8" s="27"/>
      <c r="AT8" s="27"/>
      <c r="AU8" s="27"/>
      <c r="AV8" s="27"/>
      <c r="AW8" s="27"/>
      <c r="AX8" s="27"/>
      <c r="AY8" s="27"/>
      <c r="AZ8" s="50"/>
      <c r="BA8" s="27"/>
      <c r="BB8" s="26"/>
      <c r="BC8" s="26"/>
      <c r="BD8" s="26"/>
      <c r="BE8" s="27"/>
      <c r="BF8" s="27"/>
      <c r="BG8" s="50"/>
      <c r="BH8" s="27"/>
      <c r="BI8" s="26"/>
      <c r="BJ8" s="26"/>
      <c r="BK8" s="26"/>
      <c r="BL8" s="26"/>
      <c r="BM8" s="26"/>
      <c r="BN8" s="50"/>
      <c r="BO8" s="26"/>
      <c r="BP8" s="26"/>
      <c r="BQ8" s="26"/>
      <c r="BR8" s="26"/>
      <c r="BS8" s="26"/>
      <c r="BT8" s="26"/>
      <c r="BU8" s="26"/>
      <c r="BV8" s="50"/>
      <c r="BW8" s="26"/>
      <c r="BX8" s="26"/>
      <c r="BY8" s="26"/>
      <c r="BZ8" s="26"/>
      <c r="CA8" s="26"/>
      <c r="CB8" s="26"/>
    </row>
    <row r="9" spans="1:81" ht="16.5" customHeight="1">
      <c r="B9" s="197" t="s">
        <v>9</v>
      </c>
      <c r="C9" s="779"/>
      <c r="D9" s="780"/>
      <c r="E9" s="781"/>
      <c r="F9" s="782" t="s">
        <v>10</v>
      </c>
      <c r="G9" s="783"/>
      <c r="H9" s="784"/>
      <c r="I9" s="785"/>
      <c r="J9" s="785"/>
      <c r="K9" s="785"/>
      <c r="L9" s="785"/>
      <c r="M9" s="785"/>
      <c r="N9" s="786"/>
      <c r="O9" s="27"/>
      <c r="P9" s="27"/>
      <c r="Q9" s="27"/>
      <c r="R9" s="27"/>
      <c r="S9" s="27"/>
      <c r="T9" s="27"/>
      <c r="U9" s="27"/>
      <c r="V9" s="27"/>
      <c r="W9" s="27"/>
      <c r="X9" s="27"/>
      <c r="Y9" s="27"/>
      <c r="Z9" s="27"/>
      <c r="AA9" s="27"/>
      <c r="AB9" s="47"/>
      <c r="AC9" s="27"/>
      <c r="AD9" s="27"/>
      <c r="AE9" s="27"/>
      <c r="AF9" s="27"/>
      <c r="AG9" s="27"/>
      <c r="AH9" s="27"/>
      <c r="AI9" s="27"/>
      <c r="AJ9" s="50"/>
      <c r="AK9" s="27"/>
      <c r="AL9" s="27"/>
      <c r="AM9" s="27"/>
      <c r="AN9" s="27"/>
      <c r="AO9" s="27"/>
      <c r="AP9" s="27"/>
      <c r="AQ9" s="27"/>
      <c r="AR9" s="50"/>
      <c r="AS9" s="27"/>
      <c r="AT9" s="27"/>
      <c r="AU9" s="27"/>
      <c r="AV9" s="27"/>
      <c r="AW9" s="27"/>
      <c r="AX9" s="27"/>
      <c r="AY9" s="27"/>
      <c r="AZ9" s="50"/>
      <c r="BA9" s="27"/>
      <c r="BB9" s="26"/>
      <c r="BC9" s="26"/>
      <c r="BD9" s="26"/>
      <c r="BE9" s="27"/>
      <c r="BF9" s="27"/>
      <c r="BG9" s="50"/>
      <c r="BH9" s="27"/>
      <c r="BI9" s="26"/>
      <c r="BJ9" s="26"/>
      <c r="BK9" s="26"/>
      <c r="BL9" s="26"/>
      <c r="BM9" s="26"/>
      <c r="BN9" s="50"/>
      <c r="BO9" s="26"/>
      <c r="BP9" s="26"/>
      <c r="BQ9" s="26"/>
      <c r="BR9" s="26"/>
      <c r="BS9" s="26"/>
      <c r="BT9" s="26"/>
      <c r="BU9" s="26"/>
      <c r="BV9" s="50"/>
      <c r="BW9" s="26"/>
      <c r="BX9" s="26"/>
      <c r="BY9" s="26"/>
      <c r="BZ9" s="26"/>
      <c r="CA9" s="26"/>
      <c r="CB9" s="26"/>
    </row>
    <row r="10" spans="1:81" ht="26.45" customHeight="1" thickBot="1">
      <c r="B10" s="198" t="s">
        <v>11</v>
      </c>
      <c r="C10" s="787"/>
      <c r="D10" s="788"/>
      <c r="E10" s="789"/>
      <c r="F10" s="790" t="s">
        <v>12</v>
      </c>
      <c r="G10" s="791"/>
      <c r="H10" s="792"/>
      <c r="I10" s="793"/>
      <c r="J10" s="793"/>
      <c r="K10" s="793"/>
      <c r="L10" s="793"/>
      <c r="M10" s="793"/>
      <c r="N10" s="794"/>
      <c r="O10" s="27"/>
      <c r="P10" s="27"/>
      <c r="Q10" s="27"/>
      <c r="R10" s="27"/>
      <c r="S10" s="27"/>
      <c r="T10" s="27"/>
      <c r="U10" s="27"/>
      <c r="V10" s="27"/>
      <c r="W10" s="27"/>
      <c r="X10" s="27"/>
      <c r="Y10" s="27"/>
      <c r="Z10" s="27"/>
      <c r="AA10" s="27"/>
      <c r="AB10" s="47"/>
      <c r="AC10" s="27"/>
      <c r="AD10" s="27"/>
      <c r="AE10" s="27"/>
      <c r="AF10" s="27"/>
      <c r="AG10" s="27"/>
      <c r="AH10" s="27"/>
      <c r="AI10" s="27"/>
      <c r="AJ10" s="50"/>
      <c r="AK10" s="27"/>
      <c r="AL10" s="27"/>
      <c r="AM10" s="27"/>
      <c r="AN10" s="27"/>
      <c r="AO10" s="27"/>
      <c r="AP10" s="27"/>
      <c r="AQ10" s="27"/>
      <c r="AR10" s="50"/>
      <c r="AS10" s="27"/>
      <c r="AT10" s="27"/>
      <c r="AU10" s="27"/>
      <c r="AV10" s="27"/>
      <c r="AW10" s="27"/>
      <c r="AX10" s="27"/>
      <c r="AY10" s="27"/>
      <c r="AZ10" s="50"/>
      <c r="BA10" s="27"/>
      <c r="BB10" s="26"/>
      <c r="BC10" s="26"/>
      <c r="BD10" s="26"/>
      <c r="BE10" s="27"/>
      <c r="BF10" s="27"/>
      <c r="BG10" s="50"/>
      <c r="BH10" s="27"/>
      <c r="BI10" s="26"/>
      <c r="BJ10" s="26"/>
      <c r="BK10" s="26"/>
      <c r="BL10" s="26"/>
      <c r="BM10" s="26"/>
      <c r="BN10" s="50"/>
      <c r="BO10" s="26"/>
      <c r="BP10" s="26"/>
      <c r="BQ10" s="26"/>
      <c r="BR10" s="26"/>
      <c r="BS10" s="26"/>
      <c r="BT10" s="26"/>
      <c r="BU10" s="26"/>
      <c r="BV10" s="50"/>
      <c r="BW10" s="26"/>
      <c r="BX10" s="26"/>
      <c r="BY10" s="26"/>
      <c r="BZ10" s="26"/>
      <c r="CA10" s="26"/>
      <c r="CB10" s="26"/>
    </row>
    <row r="11" spans="1:81" s="20" customFormat="1" ht="14.65" thickBot="1">
      <c r="B11" s="593"/>
      <c r="C11" s="593"/>
      <c r="D11" s="593"/>
      <c r="E11" s="594"/>
      <c r="F11" s="594"/>
      <c r="G11" s="595"/>
      <c r="H11" s="595"/>
      <c r="I11" s="595"/>
      <c r="J11" s="595"/>
      <c r="K11" s="595"/>
      <c r="L11" s="595"/>
      <c r="M11" s="595"/>
      <c r="N11" s="595"/>
      <c r="O11" s="595"/>
      <c r="P11" s="595"/>
      <c r="Q11" s="595"/>
      <c r="R11" s="595"/>
      <c r="S11" s="595"/>
      <c r="T11" s="596"/>
      <c r="U11" s="595"/>
      <c r="V11" s="595"/>
      <c r="W11" s="595"/>
      <c r="X11" s="597"/>
      <c r="Y11" s="598"/>
      <c r="Z11" s="594"/>
      <c r="AA11" s="199"/>
      <c r="AB11" s="200"/>
      <c r="AC11" s="201"/>
      <c r="AD11" s="202"/>
      <c r="AE11" s="202"/>
      <c r="AF11" s="201"/>
      <c r="AG11" s="202"/>
      <c r="AH11" s="599"/>
      <c r="AI11" s="199"/>
      <c r="AJ11" s="203"/>
      <c r="AK11" s="201"/>
      <c r="AL11" s="204"/>
      <c r="AM11" s="204"/>
      <c r="AN11" s="201"/>
      <c r="AO11" s="202"/>
      <c r="AP11" s="594"/>
      <c r="AQ11" s="199"/>
      <c r="AR11" s="203"/>
      <c r="AS11" s="201"/>
      <c r="AT11" s="201"/>
      <c r="AU11" s="201"/>
      <c r="AV11" s="201"/>
      <c r="AW11" s="202"/>
      <c r="AX11" s="594"/>
      <c r="AY11" s="199"/>
      <c r="AZ11" s="203"/>
      <c r="BA11" s="201"/>
      <c r="BB11" s="202"/>
      <c r="BC11" s="201"/>
      <c r="BD11" s="202"/>
      <c r="BE11" s="594"/>
      <c r="BF11" s="199"/>
      <c r="BG11" s="203"/>
      <c r="BH11" s="201"/>
      <c r="BI11" s="202"/>
      <c r="BJ11" s="201"/>
      <c r="BK11" s="202"/>
      <c r="BL11" s="594"/>
      <c r="BM11" s="199"/>
      <c r="BN11" s="203"/>
      <c r="BO11" s="201"/>
      <c r="BP11" s="202"/>
      <c r="BQ11" s="202"/>
      <c r="BR11" s="201"/>
      <c r="BS11" s="202"/>
      <c r="BT11" s="594"/>
      <c r="BU11" s="199"/>
      <c r="BV11" s="203"/>
      <c r="BW11" s="201"/>
      <c r="BX11" s="202"/>
      <c r="BY11" s="201"/>
      <c r="BZ11" s="202"/>
      <c r="CA11" s="205"/>
      <c r="CB11" s="206"/>
      <c r="CC11" s="38"/>
    </row>
    <row r="12" spans="1:81" s="29" customFormat="1" ht="30.75" customHeight="1">
      <c r="A12" s="20"/>
      <c r="B12" s="757" t="s">
        <v>13</v>
      </c>
      <c r="C12" s="758"/>
      <c r="D12" s="758"/>
      <c r="E12" s="758"/>
      <c r="F12" s="758"/>
      <c r="G12" s="758"/>
      <c r="H12" s="758"/>
      <c r="I12" s="758"/>
      <c r="J12" s="758"/>
      <c r="K12" s="758"/>
      <c r="L12" s="758"/>
      <c r="M12" s="758"/>
      <c r="N12" s="758"/>
      <c r="O12" s="758"/>
      <c r="P12" s="758"/>
      <c r="Q12" s="758"/>
      <c r="R12" s="758"/>
      <c r="S12" s="758"/>
      <c r="T12" s="758"/>
      <c r="U12" s="758"/>
      <c r="V12" s="758"/>
      <c r="W12" s="758"/>
      <c r="X12" s="758"/>
      <c r="Y12" s="758"/>
      <c r="Z12" s="758"/>
      <c r="AA12" s="758"/>
      <c r="AB12" s="758"/>
      <c r="AC12" s="758"/>
      <c r="AD12" s="758"/>
      <c r="AE12" s="758"/>
      <c r="AF12" s="758"/>
      <c r="AG12" s="758"/>
      <c r="AH12" s="758"/>
      <c r="AI12" s="758"/>
      <c r="AJ12" s="758"/>
      <c r="AK12" s="758"/>
      <c r="AL12" s="758"/>
      <c r="AM12" s="758"/>
      <c r="AN12" s="758"/>
      <c r="AO12" s="758"/>
      <c r="AP12" s="758"/>
      <c r="AQ12" s="758"/>
      <c r="AR12" s="758"/>
      <c r="AS12" s="758"/>
      <c r="AT12" s="758"/>
      <c r="AU12" s="758"/>
      <c r="AV12" s="758"/>
      <c r="AW12" s="758"/>
      <c r="AX12" s="758"/>
      <c r="AY12" s="758"/>
      <c r="AZ12" s="758"/>
      <c r="BA12" s="758"/>
      <c r="BB12" s="758"/>
      <c r="BC12" s="758"/>
      <c r="BD12" s="758"/>
      <c r="BE12" s="758"/>
      <c r="BF12" s="758"/>
      <c r="BG12" s="758"/>
      <c r="BH12" s="758"/>
      <c r="BI12" s="758"/>
      <c r="BJ12" s="758"/>
      <c r="BK12" s="758"/>
      <c r="BL12" s="758"/>
      <c r="BM12" s="758"/>
      <c r="BN12" s="758"/>
      <c r="BO12" s="758"/>
      <c r="BP12" s="758"/>
      <c r="BQ12" s="758"/>
      <c r="BR12" s="758"/>
      <c r="BS12" s="758"/>
      <c r="BT12" s="758"/>
      <c r="BU12" s="758"/>
      <c r="BV12" s="758"/>
      <c r="BW12" s="758"/>
      <c r="BX12" s="758"/>
      <c r="BY12" s="758"/>
      <c r="BZ12" s="758"/>
      <c r="CA12" s="758"/>
      <c r="CB12" s="759"/>
      <c r="CC12" s="38"/>
    </row>
    <row r="13" spans="1:81" s="29" customFormat="1" ht="25.5" customHeight="1">
      <c r="A13" s="20"/>
      <c r="B13" s="753" t="s">
        <v>14</v>
      </c>
      <c r="C13" s="754"/>
      <c r="D13" s="754"/>
      <c r="E13" s="754"/>
      <c r="F13" s="754"/>
      <c r="G13" s="754"/>
      <c r="H13" s="754"/>
      <c r="I13" s="754"/>
      <c r="J13" s="754"/>
      <c r="K13" s="754"/>
      <c r="L13" s="754"/>
      <c r="M13" s="754"/>
      <c r="N13" s="754"/>
      <c r="O13" s="754"/>
      <c r="P13" s="754"/>
      <c r="Q13" s="754"/>
      <c r="R13" s="754"/>
      <c r="S13" s="754"/>
      <c r="T13" s="754"/>
      <c r="U13" s="754"/>
      <c r="V13" s="754"/>
      <c r="W13" s="754"/>
      <c r="X13" s="754"/>
      <c r="Y13" s="754"/>
      <c r="Z13" s="754"/>
      <c r="AA13" s="754"/>
      <c r="AB13" s="754"/>
      <c r="AC13" s="754"/>
      <c r="AD13" s="754"/>
      <c r="AE13" s="754"/>
      <c r="AF13" s="754"/>
      <c r="AG13" s="754"/>
      <c r="AH13" s="754"/>
      <c r="AI13" s="754"/>
      <c r="AJ13" s="754"/>
      <c r="AK13" s="754"/>
      <c r="AL13" s="754"/>
      <c r="AM13" s="754"/>
      <c r="AN13" s="754"/>
      <c r="AO13" s="754"/>
      <c r="AP13" s="754"/>
      <c r="AQ13" s="754"/>
      <c r="AR13" s="754"/>
      <c r="AS13" s="754"/>
      <c r="AT13" s="754"/>
      <c r="AU13" s="754"/>
      <c r="AV13" s="754"/>
      <c r="AW13" s="754"/>
      <c r="AX13" s="754"/>
      <c r="AY13" s="754"/>
      <c r="AZ13" s="754"/>
      <c r="BA13" s="754"/>
      <c r="BB13" s="754"/>
      <c r="BC13" s="754"/>
      <c r="BD13" s="754"/>
      <c r="BE13" s="754"/>
      <c r="BF13" s="754"/>
      <c r="BG13" s="754"/>
      <c r="BH13" s="754"/>
      <c r="BI13" s="754"/>
      <c r="BJ13" s="754"/>
      <c r="BK13" s="754"/>
      <c r="BL13" s="754"/>
      <c r="BM13" s="754"/>
      <c r="BN13" s="754"/>
      <c r="BO13" s="754"/>
      <c r="BP13" s="754"/>
      <c r="BQ13" s="754"/>
      <c r="BR13" s="754"/>
      <c r="BS13" s="754"/>
      <c r="BT13" s="754"/>
      <c r="BU13" s="754"/>
      <c r="BV13" s="754"/>
      <c r="BW13" s="754"/>
      <c r="BX13" s="754"/>
      <c r="BY13" s="754"/>
      <c r="BZ13" s="754"/>
      <c r="CA13" s="754"/>
      <c r="CB13" s="755"/>
      <c r="CC13" s="38"/>
    </row>
    <row r="14" spans="1:81" s="29" customFormat="1" ht="49.5" customHeight="1">
      <c r="A14" s="20"/>
      <c r="B14" s="747" t="s">
        <v>15</v>
      </c>
      <c r="C14" s="762" t="s">
        <v>16</v>
      </c>
      <c r="D14" s="762" t="s">
        <v>17</v>
      </c>
      <c r="E14" s="760" t="s">
        <v>18</v>
      </c>
      <c r="F14" s="760" t="s">
        <v>19</v>
      </c>
      <c r="G14" s="760"/>
      <c r="H14" s="760"/>
      <c r="I14" s="760"/>
      <c r="J14" s="760"/>
      <c r="K14" s="760"/>
      <c r="L14" s="760"/>
      <c r="M14" s="760"/>
      <c r="N14" s="760"/>
      <c r="O14" s="760"/>
      <c r="P14" s="760"/>
      <c r="Q14" s="760"/>
      <c r="R14" s="760"/>
      <c r="S14" s="760"/>
      <c r="T14" s="760"/>
      <c r="U14" s="760" t="s">
        <v>20</v>
      </c>
      <c r="V14" s="760"/>
      <c r="W14" s="760"/>
      <c r="X14" s="760"/>
      <c r="Y14" s="760"/>
      <c r="Z14" s="761" t="s">
        <v>21</v>
      </c>
      <c r="AA14" s="761"/>
      <c r="AB14" s="761"/>
      <c r="AC14" s="761"/>
      <c r="AD14" s="761"/>
      <c r="AE14" s="761"/>
      <c r="AF14" s="761"/>
      <c r="AG14" s="761"/>
      <c r="AH14" s="761" t="s">
        <v>22</v>
      </c>
      <c r="AI14" s="761"/>
      <c r="AJ14" s="761"/>
      <c r="AK14" s="761"/>
      <c r="AL14" s="761"/>
      <c r="AM14" s="761"/>
      <c r="AN14" s="761"/>
      <c r="AO14" s="761"/>
      <c r="AP14" s="761" t="s">
        <v>23</v>
      </c>
      <c r="AQ14" s="761"/>
      <c r="AR14" s="761"/>
      <c r="AS14" s="761"/>
      <c r="AT14" s="761"/>
      <c r="AU14" s="761"/>
      <c r="AV14" s="761"/>
      <c r="AW14" s="761"/>
      <c r="AX14" s="761" t="s">
        <v>24</v>
      </c>
      <c r="AY14" s="761"/>
      <c r="AZ14" s="761"/>
      <c r="BA14" s="761"/>
      <c r="BB14" s="761"/>
      <c r="BC14" s="761"/>
      <c r="BD14" s="761"/>
      <c r="BE14" s="761" t="s">
        <v>25</v>
      </c>
      <c r="BF14" s="761"/>
      <c r="BG14" s="761"/>
      <c r="BH14" s="761"/>
      <c r="BI14" s="761"/>
      <c r="BJ14" s="761"/>
      <c r="BK14" s="761"/>
      <c r="BL14" s="761" t="s">
        <v>26</v>
      </c>
      <c r="BM14" s="761"/>
      <c r="BN14" s="761"/>
      <c r="BO14" s="761"/>
      <c r="BP14" s="761"/>
      <c r="BQ14" s="761"/>
      <c r="BR14" s="761"/>
      <c r="BS14" s="761"/>
      <c r="BT14" s="761" t="s">
        <v>27</v>
      </c>
      <c r="BU14" s="761"/>
      <c r="BV14" s="761"/>
      <c r="BW14" s="761"/>
      <c r="BX14" s="761"/>
      <c r="BY14" s="761"/>
      <c r="BZ14" s="761"/>
      <c r="CA14" s="696" t="s">
        <v>28</v>
      </c>
      <c r="CB14" s="756" t="s">
        <v>29</v>
      </c>
      <c r="CC14" s="38"/>
    </row>
    <row r="15" spans="1:81" s="29" customFormat="1" ht="75" customHeight="1">
      <c r="A15" s="20"/>
      <c r="B15" s="748"/>
      <c r="C15" s="763"/>
      <c r="D15" s="763"/>
      <c r="E15" s="760"/>
      <c r="F15" s="207" t="s">
        <v>30</v>
      </c>
      <c r="G15" s="207" t="s">
        <v>31</v>
      </c>
      <c r="H15" s="207" t="s">
        <v>32</v>
      </c>
      <c r="I15" s="207" t="s">
        <v>33</v>
      </c>
      <c r="J15" s="207" t="s">
        <v>34</v>
      </c>
      <c r="K15" s="207" t="s">
        <v>35</v>
      </c>
      <c r="L15" s="207" t="s">
        <v>36</v>
      </c>
      <c r="M15" s="207" t="s">
        <v>37</v>
      </c>
      <c r="N15" s="207" t="s">
        <v>38</v>
      </c>
      <c r="O15" s="207" t="s">
        <v>39</v>
      </c>
      <c r="P15" s="207" t="s">
        <v>40</v>
      </c>
      <c r="Q15" s="207" t="s">
        <v>41</v>
      </c>
      <c r="R15" s="207" t="s">
        <v>42</v>
      </c>
      <c r="S15" s="207" t="s">
        <v>43</v>
      </c>
      <c r="T15" s="207" t="s">
        <v>44</v>
      </c>
      <c r="U15" s="207" t="s">
        <v>45</v>
      </c>
      <c r="V15" s="207" t="s">
        <v>46</v>
      </c>
      <c r="W15" s="207" t="s">
        <v>47</v>
      </c>
      <c r="X15" s="208" t="s">
        <v>48</v>
      </c>
      <c r="Y15" s="209" t="s">
        <v>20</v>
      </c>
      <c r="Z15" s="696" t="s">
        <v>49</v>
      </c>
      <c r="AA15" s="696"/>
      <c r="AB15" s="210" t="s">
        <v>50</v>
      </c>
      <c r="AC15" s="207" t="s">
        <v>51</v>
      </c>
      <c r="AD15" s="211" t="s">
        <v>52</v>
      </c>
      <c r="AE15" s="211" t="s">
        <v>52</v>
      </c>
      <c r="AF15" s="209" t="s">
        <v>53</v>
      </c>
      <c r="AG15" s="211" t="s">
        <v>54</v>
      </c>
      <c r="AH15" s="696" t="s">
        <v>55</v>
      </c>
      <c r="AI15" s="696"/>
      <c r="AJ15" s="210" t="s">
        <v>50</v>
      </c>
      <c r="AK15" s="209" t="s">
        <v>56</v>
      </c>
      <c r="AL15" s="212" t="s">
        <v>57</v>
      </c>
      <c r="AM15" s="212" t="s">
        <v>58</v>
      </c>
      <c r="AN15" s="209" t="s">
        <v>59</v>
      </c>
      <c r="AO15" s="211" t="s">
        <v>54</v>
      </c>
      <c r="AP15" s="696" t="s">
        <v>60</v>
      </c>
      <c r="AQ15" s="696"/>
      <c r="AR15" s="210" t="s">
        <v>50</v>
      </c>
      <c r="AS15" s="209" t="s">
        <v>61</v>
      </c>
      <c r="AT15" s="207" t="s">
        <v>62</v>
      </c>
      <c r="AU15" s="207" t="s">
        <v>63</v>
      </c>
      <c r="AV15" s="209" t="s">
        <v>64</v>
      </c>
      <c r="AW15" s="211" t="s">
        <v>54</v>
      </c>
      <c r="AX15" s="696" t="s">
        <v>65</v>
      </c>
      <c r="AY15" s="696"/>
      <c r="AZ15" s="210" t="s">
        <v>50</v>
      </c>
      <c r="BA15" s="209" t="s">
        <v>66</v>
      </c>
      <c r="BB15" s="211" t="s">
        <v>67</v>
      </c>
      <c r="BC15" s="209" t="s">
        <v>68</v>
      </c>
      <c r="BD15" s="211" t="s">
        <v>54</v>
      </c>
      <c r="BE15" s="696" t="s">
        <v>69</v>
      </c>
      <c r="BF15" s="696"/>
      <c r="BG15" s="210" t="s">
        <v>50</v>
      </c>
      <c r="BH15" s="209" t="s">
        <v>70</v>
      </c>
      <c r="BI15" s="211" t="s">
        <v>71</v>
      </c>
      <c r="BJ15" s="209" t="s">
        <v>72</v>
      </c>
      <c r="BK15" s="211" t="s">
        <v>54</v>
      </c>
      <c r="BL15" s="696" t="s">
        <v>73</v>
      </c>
      <c r="BM15" s="696"/>
      <c r="BN15" s="210" t="s">
        <v>50</v>
      </c>
      <c r="BO15" s="209" t="s">
        <v>74</v>
      </c>
      <c r="BP15" s="211" t="s">
        <v>75</v>
      </c>
      <c r="BQ15" s="211" t="s">
        <v>76</v>
      </c>
      <c r="BR15" s="209" t="s">
        <v>77</v>
      </c>
      <c r="BS15" s="211" t="s">
        <v>54</v>
      </c>
      <c r="BT15" s="696" t="s">
        <v>78</v>
      </c>
      <c r="BU15" s="696"/>
      <c r="BV15" s="210" t="s">
        <v>50</v>
      </c>
      <c r="BW15" s="209" t="s">
        <v>79</v>
      </c>
      <c r="BX15" s="211" t="s">
        <v>80</v>
      </c>
      <c r="BY15" s="209" t="s">
        <v>81</v>
      </c>
      <c r="BZ15" s="211" t="s">
        <v>54</v>
      </c>
      <c r="CA15" s="696"/>
      <c r="CB15" s="756"/>
      <c r="CC15" s="38" t="s">
        <v>82</v>
      </c>
    </row>
    <row r="16" spans="1:81" ht="15" customHeight="1">
      <c r="B16" s="213" t="s">
        <v>83</v>
      </c>
      <c r="C16" s="562" t="s">
        <v>84</v>
      </c>
      <c r="D16" s="461"/>
      <c r="E16" s="215"/>
      <c r="F16" s="216">
        <f t="shared" ref="F16:F23" si="0">VLOOKUP($E16,$CD$114:$DH$479,2,FALSE)</f>
        <v>0</v>
      </c>
      <c r="G16" s="214"/>
      <c r="H16" s="214"/>
      <c r="I16" s="214"/>
      <c r="J16" s="214"/>
      <c r="K16" s="214"/>
      <c r="L16" s="214"/>
      <c r="M16" s="214"/>
      <c r="N16" s="214"/>
      <c r="O16" s="214"/>
      <c r="P16" s="214"/>
      <c r="Q16" s="214"/>
      <c r="R16" s="214"/>
      <c r="S16" s="217">
        <f t="shared" ref="S16:S23" si="1">SUM(G16:R16)</f>
        <v>0</v>
      </c>
      <c r="T16" s="218">
        <f t="shared" ref="T16:T23" si="2">COUNT(G16:R16)</f>
        <v>0</v>
      </c>
      <c r="U16" s="217">
        <f t="shared" ref="U16:U17" si="3">IF(T16&gt;1,AVERAGE(G16:R16),0)</f>
        <v>0</v>
      </c>
      <c r="V16" s="217">
        <f t="shared" ref="V16:V17" si="4">IF(T16&gt;1,STDEV(G16:R16),0)</f>
        <v>0</v>
      </c>
      <c r="W16" s="217">
        <f t="shared" ref="W16:W23" si="5">IF(T16&gt;1,VLOOKUP($T16,$CD$383:$CE$395,2,FALSE),0)</f>
        <v>0</v>
      </c>
      <c r="X16" s="219"/>
      <c r="Y16" s="536">
        <f t="shared" ref="Y16:Y23" si="6">IF(X16&gt;0,X16,IF(T16&gt;1,1-((U16-((V16*W16)/(SQRT(T16))))/U16),VLOOKUP($E16,$CD$114:$DK$479,34,FALSE)))</f>
        <v>0.05</v>
      </c>
      <c r="Z16" s="220">
        <f t="shared" ref="Z16:Z23" si="7">VLOOKUP($E16,$CD$114:$DH$479,3,FALSE)</f>
        <v>0</v>
      </c>
      <c r="AA16" s="221">
        <f t="shared" ref="AA16:AA23" si="8">VLOOKUP($E16,$CD$114:$DH$479,4,FALSE)</f>
        <v>0</v>
      </c>
      <c r="AB16" s="537">
        <f t="shared" ref="AB16:AB23" si="9">IF($S16&gt;0,VLOOKUP($E16,$CD$114:$DH$479,7,FALSE),0)</f>
        <v>0</v>
      </c>
      <c r="AC16" s="536">
        <f t="shared" ref="AC16:AC23" si="10">IF($S16&gt;0,VLOOKUP($E16,$CD$114:$DH$479,6,FALSE),0)</f>
        <v>0</v>
      </c>
      <c r="AD16" s="538">
        <f t="shared" ref="AD16:AD23" si="11">($S16*Z16)/1000</f>
        <v>0</v>
      </c>
      <c r="AE16" s="538">
        <f t="shared" ref="AE16:AE23" si="12">AD16*$CE$401</f>
        <v>0</v>
      </c>
      <c r="AF16" s="536">
        <f t="shared" ref="AF16:AF23" si="13">IF(AD16&gt;0,SQRT(($Y16*$Y16)+(AC16*AC16)),0)</f>
        <v>0</v>
      </c>
      <c r="AG16" s="538">
        <f>(AE16*AF16)^2</f>
        <v>0</v>
      </c>
      <c r="AH16" s="222">
        <f t="shared" ref="AH16:AH23" si="14">VLOOKUP($E16,$CD$114:$DH$479,21,FALSE)</f>
        <v>0</v>
      </c>
      <c r="AI16" s="221">
        <f t="shared" ref="AI16:AI23" si="15">VLOOKUP($E16,$CD$114:$DH$479,22,FALSE)</f>
        <v>0</v>
      </c>
      <c r="AJ16" s="537">
        <f t="shared" ref="AJ16:AJ23" si="16">IF($S16&gt;0,VLOOKUP($E16,$CD$114:$DH$479,25,FALSE),0)</f>
        <v>0</v>
      </c>
      <c r="AK16" s="536">
        <f t="shared" ref="AK16:AK23" si="17">IF($S16&gt;0,VLOOKUP($E16,$CD$114:$DH$479,24,FALSE),0)</f>
        <v>0</v>
      </c>
      <c r="AL16" s="540">
        <f>($S16*AH16)/1000</f>
        <v>0</v>
      </c>
      <c r="AM16" s="540">
        <f t="shared" ref="AM16:AM23" si="18">AL16*$CE$402</f>
        <v>0</v>
      </c>
      <c r="AN16" s="536">
        <f t="shared" ref="AN16:AN23" si="19">IF(AL16&gt;0,SQRT(($Y16*$Y16)+(AK16*AK16)),0)</f>
        <v>0</v>
      </c>
      <c r="AO16" s="538">
        <f>(AM16*AN16)^2</f>
        <v>0</v>
      </c>
      <c r="AP16" s="222">
        <f t="shared" ref="AP16:AP23" si="20">VLOOKUP($E16,$CD$114:$DH$479,27,FALSE)</f>
        <v>0</v>
      </c>
      <c r="AQ16" s="221">
        <f t="shared" ref="AQ16:AQ23" si="21">VLOOKUP($E16,$CD$114:$DH$479,28,FALSE)</f>
        <v>0</v>
      </c>
      <c r="AR16" s="537">
        <f t="shared" ref="AR16:AR23" si="22">IF($S16&gt;0,VLOOKUP($E16,$CD$114:$DH$479,31,FALSE),0)</f>
        <v>0</v>
      </c>
      <c r="AS16" s="536">
        <f t="shared" ref="AS16:AS23" si="23">IF($S16&gt;0,VLOOKUP($E16,$CD$114:$DH$479,30,FALSE),0)</f>
        <v>0</v>
      </c>
      <c r="AT16" s="540">
        <f>($S16*AP16)/1000</f>
        <v>0</v>
      </c>
      <c r="AU16" s="540">
        <f t="shared" ref="AU16:AU23" si="24">AT16*$CE$403</f>
        <v>0</v>
      </c>
      <c r="AV16" s="536">
        <f t="shared" ref="AV16:AV23" si="25">IF(AT16&gt;0,SQRT(($Y16*$Y16)+(AS16*AS16)),0)</f>
        <v>0</v>
      </c>
      <c r="AW16" s="538">
        <f>(AU16*AV16)^2</f>
        <v>0</v>
      </c>
      <c r="AX16" s="223">
        <v>0</v>
      </c>
      <c r="AY16" s="221">
        <v>0</v>
      </c>
      <c r="AZ16" s="537">
        <v>0</v>
      </c>
      <c r="BA16" s="536">
        <v>0</v>
      </c>
      <c r="BB16" s="540">
        <f t="shared" ref="BB16:BB23" si="26">($S16*AX16)/1000</f>
        <v>0</v>
      </c>
      <c r="BC16" s="536">
        <f t="shared" ref="BC16:BC23" si="27">IF(BB16&gt;0,SQRT(($Y16*$Y16)+(BA16*BA16)),0)</f>
        <v>0</v>
      </c>
      <c r="BD16" s="538">
        <f>(BB16*BC16)^2</f>
        <v>0</v>
      </c>
      <c r="BE16" s="223">
        <v>0</v>
      </c>
      <c r="BF16" s="221">
        <v>0</v>
      </c>
      <c r="BG16" s="537">
        <v>0</v>
      </c>
      <c r="BH16" s="536">
        <v>0</v>
      </c>
      <c r="BI16" s="540">
        <f t="shared" ref="BI16:BI23" si="28">($S16*BE16)/1000</f>
        <v>0</v>
      </c>
      <c r="BJ16" s="536">
        <f t="shared" ref="BJ16:BJ23" si="29">IF(BI16&gt;0,SQRT(($Y16*$Y16)+(BH16*BH16)),0)</f>
        <v>0</v>
      </c>
      <c r="BK16" s="538">
        <f>(BI16*BJ16)^2</f>
        <v>0</v>
      </c>
      <c r="BL16" s="223">
        <v>0</v>
      </c>
      <c r="BM16" s="221">
        <v>0</v>
      </c>
      <c r="BN16" s="537">
        <v>0</v>
      </c>
      <c r="BO16" s="536">
        <v>0</v>
      </c>
      <c r="BP16" s="540">
        <f>($S16*BL16)/1000</f>
        <v>0</v>
      </c>
      <c r="BQ16" s="540">
        <f t="shared" ref="BQ16:BQ23" si="30">BP16*$CE$404</f>
        <v>0</v>
      </c>
      <c r="BR16" s="536">
        <f t="shared" ref="BR16:BR23" si="31">IF(BP16&gt;0,SQRT(($Y16*$Y16)+(BO16*BO16)),0)</f>
        <v>0</v>
      </c>
      <c r="BS16" s="538">
        <f>(BQ16*BR16)^2</f>
        <v>0</v>
      </c>
      <c r="BT16" s="220">
        <f t="shared" ref="BT16:BT23" si="32">VLOOKUP($E16,$CD$114:$DI$479,32,FALSE)</f>
        <v>0</v>
      </c>
      <c r="BU16" s="221">
        <f t="shared" ref="BU16:BU23" si="33">VLOOKUP($E16,$CD$114:$DH$479,4,FALSE)</f>
        <v>0</v>
      </c>
      <c r="BV16" s="537">
        <f t="shared" ref="BV16:BV23" si="34">IF($S16&gt;0,VLOOKUP($E16,$CD$114:$DH$479,7,FALSE),0)</f>
        <v>0</v>
      </c>
      <c r="BW16" s="536">
        <f t="shared" ref="BW16:BW23" si="35">IF($S16&gt;0,VLOOKUP($E16,$CD$114:$DH$479,6,FALSE),0)</f>
        <v>0</v>
      </c>
      <c r="BX16" s="540">
        <f>($S16*BT16)/1000</f>
        <v>0</v>
      </c>
      <c r="BY16" s="536">
        <f t="shared" ref="BY16:BY23" si="36">IF(BX16&gt;0,SQRT(($Y16*$Y16)+(BW16*BW16)),0)</f>
        <v>0</v>
      </c>
      <c r="BZ16" s="538">
        <f t="shared" ref="BZ16:BZ28" si="37">(BX16*BY16)^2</f>
        <v>0</v>
      </c>
      <c r="CA16" s="217">
        <f t="shared" ref="CA16:CA23" si="38">IF(C16="EmisionesGEI",D16,AE16+AM16+AU16+BB16+BQ16)</f>
        <v>0</v>
      </c>
      <c r="CB16" s="541">
        <f t="shared" ref="CB16:CB23" si="39">IF(CA16&gt;0,SQRT(AG16+AO16+AW16+BD16+BS16)/CA16,0)</f>
        <v>0</v>
      </c>
      <c r="CC16" s="38">
        <f>(CA16*CB16)^2</f>
        <v>0</v>
      </c>
    </row>
    <row r="17" spans="1:81">
      <c r="B17" s="224" t="s">
        <v>85</v>
      </c>
      <c r="C17" s="562" t="s">
        <v>84</v>
      </c>
      <c r="D17" s="461"/>
      <c r="E17" s="215"/>
      <c r="F17" s="216">
        <f t="shared" si="0"/>
        <v>0</v>
      </c>
      <c r="G17" s="214"/>
      <c r="H17" s="214"/>
      <c r="I17" s="214"/>
      <c r="J17" s="214"/>
      <c r="K17" s="214"/>
      <c r="L17" s="214"/>
      <c r="M17" s="214"/>
      <c r="N17" s="214"/>
      <c r="O17" s="214"/>
      <c r="P17" s="214"/>
      <c r="Q17" s="214"/>
      <c r="R17" s="214"/>
      <c r="S17" s="217">
        <f t="shared" si="1"/>
        <v>0</v>
      </c>
      <c r="T17" s="218">
        <f t="shared" si="2"/>
        <v>0</v>
      </c>
      <c r="U17" s="217">
        <f t="shared" si="3"/>
        <v>0</v>
      </c>
      <c r="V17" s="217">
        <f t="shared" si="4"/>
        <v>0</v>
      </c>
      <c r="W17" s="217">
        <f t="shared" si="5"/>
        <v>0</v>
      </c>
      <c r="X17" s="219"/>
      <c r="Y17" s="536">
        <f t="shared" si="6"/>
        <v>0.05</v>
      </c>
      <c r="Z17" s="220">
        <f t="shared" si="7"/>
        <v>0</v>
      </c>
      <c r="AA17" s="221">
        <f t="shared" si="8"/>
        <v>0</v>
      </c>
      <c r="AB17" s="537">
        <f t="shared" si="9"/>
        <v>0</v>
      </c>
      <c r="AC17" s="536">
        <f t="shared" si="10"/>
        <v>0</v>
      </c>
      <c r="AD17" s="538">
        <f t="shared" si="11"/>
        <v>0</v>
      </c>
      <c r="AE17" s="538">
        <f t="shared" si="12"/>
        <v>0</v>
      </c>
      <c r="AF17" s="536">
        <f t="shared" si="13"/>
        <v>0</v>
      </c>
      <c r="AG17" s="538">
        <f t="shared" ref="AG17:AG24" si="40">(AE17*AF17)^2</f>
        <v>0</v>
      </c>
      <c r="AH17" s="222">
        <f t="shared" si="14"/>
        <v>0</v>
      </c>
      <c r="AI17" s="221">
        <f t="shared" si="15"/>
        <v>0</v>
      </c>
      <c r="AJ17" s="537">
        <f t="shared" si="16"/>
        <v>0</v>
      </c>
      <c r="AK17" s="536">
        <f t="shared" si="17"/>
        <v>0</v>
      </c>
      <c r="AL17" s="540">
        <f t="shared" ref="AL17:AL23" si="41">($S17*AH17)/1000</f>
        <v>0</v>
      </c>
      <c r="AM17" s="540">
        <f t="shared" si="18"/>
        <v>0</v>
      </c>
      <c r="AN17" s="536">
        <f t="shared" si="19"/>
        <v>0</v>
      </c>
      <c r="AO17" s="538">
        <f t="shared" ref="AO17:AO24" si="42">(AM17*AN17)^2</f>
        <v>0</v>
      </c>
      <c r="AP17" s="222">
        <f t="shared" si="20"/>
        <v>0</v>
      </c>
      <c r="AQ17" s="221">
        <f t="shared" si="21"/>
        <v>0</v>
      </c>
      <c r="AR17" s="537">
        <f t="shared" si="22"/>
        <v>0</v>
      </c>
      <c r="AS17" s="536">
        <f t="shared" si="23"/>
        <v>0</v>
      </c>
      <c r="AT17" s="540">
        <f t="shared" ref="AT17:AT23" si="43">($S17*AP17)/1000</f>
        <v>0</v>
      </c>
      <c r="AU17" s="540">
        <f t="shared" si="24"/>
        <v>0</v>
      </c>
      <c r="AV17" s="536">
        <f t="shared" si="25"/>
        <v>0</v>
      </c>
      <c r="AW17" s="538">
        <f t="shared" ref="AW17:AW24" si="44">(AU17*AV17)^2</f>
        <v>0</v>
      </c>
      <c r="AX17" s="223">
        <v>0</v>
      </c>
      <c r="AY17" s="221">
        <v>0</v>
      </c>
      <c r="AZ17" s="537">
        <v>0</v>
      </c>
      <c r="BA17" s="536">
        <v>0</v>
      </c>
      <c r="BB17" s="540">
        <f t="shared" si="26"/>
        <v>0</v>
      </c>
      <c r="BC17" s="536">
        <f t="shared" si="27"/>
        <v>0</v>
      </c>
      <c r="BD17" s="538">
        <f t="shared" ref="BD17:BD24" si="45">(BB17*BC17)^2</f>
        <v>0</v>
      </c>
      <c r="BE17" s="223">
        <v>0</v>
      </c>
      <c r="BF17" s="221">
        <v>0</v>
      </c>
      <c r="BG17" s="537">
        <v>0</v>
      </c>
      <c r="BH17" s="536">
        <v>0</v>
      </c>
      <c r="BI17" s="540">
        <f t="shared" si="28"/>
        <v>0</v>
      </c>
      <c r="BJ17" s="536">
        <f t="shared" si="29"/>
        <v>0</v>
      </c>
      <c r="BK17" s="538">
        <f t="shared" ref="BK17:BK28" si="46">(BI17*BJ17)^2</f>
        <v>0</v>
      </c>
      <c r="BL17" s="223">
        <v>0</v>
      </c>
      <c r="BM17" s="221">
        <v>0</v>
      </c>
      <c r="BN17" s="537">
        <v>0</v>
      </c>
      <c r="BO17" s="536">
        <v>0</v>
      </c>
      <c r="BP17" s="540">
        <f t="shared" ref="BP17:BP23" si="47">($S17*BL17)/1000</f>
        <v>0</v>
      </c>
      <c r="BQ17" s="540">
        <f t="shared" si="30"/>
        <v>0</v>
      </c>
      <c r="BR17" s="536">
        <f t="shared" si="31"/>
        <v>0</v>
      </c>
      <c r="BS17" s="538">
        <f t="shared" ref="BS17:BS24" si="48">(BQ17*BR17)^2</f>
        <v>0</v>
      </c>
      <c r="BT17" s="220">
        <f t="shared" si="32"/>
        <v>0</v>
      </c>
      <c r="BU17" s="221">
        <f t="shared" si="33"/>
        <v>0</v>
      </c>
      <c r="BV17" s="537">
        <f t="shared" si="34"/>
        <v>0</v>
      </c>
      <c r="BW17" s="536">
        <f t="shared" si="35"/>
        <v>0</v>
      </c>
      <c r="BX17" s="540">
        <f t="shared" ref="BX17:BX23" si="49">($S17*BT17)/1000</f>
        <v>0</v>
      </c>
      <c r="BY17" s="536">
        <f t="shared" si="36"/>
        <v>0</v>
      </c>
      <c r="BZ17" s="538">
        <f t="shared" si="37"/>
        <v>0</v>
      </c>
      <c r="CA17" s="217">
        <f t="shared" si="38"/>
        <v>0</v>
      </c>
      <c r="CB17" s="541">
        <f t="shared" si="39"/>
        <v>0</v>
      </c>
      <c r="CC17" s="38">
        <f t="shared" ref="CC17:CC89" si="50">(CA17*CB17)^2</f>
        <v>0</v>
      </c>
    </row>
    <row r="18" spans="1:81">
      <c r="B18" s="224"/>
      <c r="C18" s="562" t="s">
        <v>84</v>
      </c>
      <c r="D18" s="461"/>
      <c r="E18" s="215"/>
      <c r="F18" s="216">
        <f t="shared" si="0"/>
        <v>0</v>
      </c>
      <c r="G18" s="214"/>
      <c r="H18" s="214"/>
      <c r="I18" s="214"/>
      <c r="J18" s="214"/>
      <c r="K18" s="214"/>
      <c r="L18" s="214"/>
      <c r="M18" s="214"/>
      <c r="N18" s="214"/>
      <c r="O18" s="214"/>
      <c r="P18" s="214"/>
      <c r="Q18" s="214"/>
      <c r="R18" s="214"/>
      <c r="S18" s="217">
        <f t="shared" si="1"/>
        <v>0</v>
      </c>
      <c r="T18" s="218">
        <f t="shared" si="2"/>
        <v>0</v>
      </c>
      <c r="U18" s="217">
        <f t="shared" ref="U18:U23" si="51">IF(T18&gt;1,AVERAGE(G18:R18),0)</f>
        <v>0</v>
      </c>
      <c r="V18" s="217">
        <f t="shared" ref="V18:V23" si="52">IF(T18&gt;1,STDEV(G18:R18),0)</f>
        <v>0</v>
      </c>
      <c r="W18" s="217">
        <f t="shared" si="5"/>
        <v>0</v>
      </c>
      <c r="X18" s="219"/>
      <c r="Y18" s="536">
        <f t="shared" si="6"/>
        <v>0.05</v>
      </c>
      <c r="Z18" s="220">
        <f t="shared" si="7"/>
        <v>0</v>
      </c>
      <c r="AA18" s="221">
        <f t="shared" si="8"/>
        <v>0</v>
      </c>
      <c r="AB18" s="537">
        <f t="shared" si="9"/>
        <v>0</v>
      </c>
      <c r="AC18" s="536">
        <f t="shared" si="10"/>
        <v>0</v>
      </c>
      <c r="AD18" s="538">
        <f t="shared" si="11"/>
        <v>0</v>
      </c>
      <c r="AE18" s="538">
        <f t="shared" si="12"/>
        <v>0</v>
      </c>
      <c r="AF18" s="536">
        <f t="shared" si="13"/>
        <v>0</v>
      </c>
      <c r="AG18" s="538">
        <f t="shared" si="40"/>
        <v>0</v>
      </c>
      <c r="AH18" s="225">
        <f t="shared" si="14"/>
        <v>0</v>
      </c>
      <c r="AI18" s="221">
        <f t="shared" si="15"/>
        <v>0</v>
      </c>
      <c r="AJ18" s="537">
        <f t="shared" si="16"/>
        <v>0</v>
      </c>
      <c r="AK18" s="536">
        <f t="shared" si="17"/>
        <v>0</v>
      </c>
      <c r="AL18" s="540">
        <f t="shared" si="41"/>
        <v>0</v>
      </c>
      <c r="AM18" s="540">
        <f t="shared" si="18"/>
        <v>0</v>
      </c>
      <c r="AN18" s="536">
        <f t="shared" si="19"/>
        <v>0</v>
      </c>
      <c r="AO18" s="538">
        <f t="shared" si="42"/>
        <v>0</v>
      </c>
      <c r="AP18" s="225">
        <f t="shared" si="20"/>
        <v>0</v>
      </c>
      <c r="AQ18" s="221">
        <f t="shared" si="21"/>
        <v>0</v>
      </c>
      <c r="AR18" s="537">
        <f t="shared" si="22"/>
        <v>0</v>
      </c>
      <c r="AS18" s="536">
        <f t="shared" si="23"/>
        <v>0</v>
      </c>
      <c r="AT18" s="540">
        <f t="shared" si="43"/>
        <v>0</v>
      </c>
      <c r="AU18" s="540">
        <f t="shared" si="24"/>
        <v>0</v>
      </c>
      <c r="AV18" s="536">
        <f t="shared" si="25"/>
        <v>0</v>
      </c>
      <c r="AW18" s="538">
        <f t="shared" si="44"/>
        <v>0</v>
      </c>
      <c r="AX18" s="223">
        <v>0</v>
      </c>
      <c r="AY18" s="221">
        <v>0</v>
      </c>
      <c r="AZ18" s="537">
        <v>0</v>
      </c>
      <c r="BA18" s="536">
        <v>0</v>
      </c>
      <c r="BB18" s="540">
        <f t="shared" si="26"/>
        <v>0</v>
      </c>
      <c r="BC18" s="536">
        <f t="shared" si="27"/>
        <v>0</v>
      </c>
      <c r="BD18" s="538">
        <f t="shared" si="45"/>
        <v>0</v>
      </c>
      <c r="BE18" s="223">
        <v>0</v>
      </c>
      <c r="BF18" s="221">
        <v>0</v>
      </c>
      <c r="BG18" s="537">
        <v>0</v>
      </c>
      <c r="BH18" s="536">
        <v>0</v>
      </c>
      <c r="BI18" s="540">
        <f t="shared" si="28"/>
        <v>0</v>
      </c>
      <c r="BJ18" s="536">
        <f t="shared" si="29"/>
        <v>0</v>
      </c>
      <c r="BK18" s="538">
        <f t="shared" si="46"/>
        <v>0</v>
      </c>
      <c r="BL18" s="223">
        <v>0</v>
      </c>
      <c r="BM18" s="221">
        <v>0</v>
      </c>
      <c r="BN18" s="537">
        <v>0</v>
      </c>
      <c r="BO18" s="536">
        <v>0</v>
      </c>
      <c r="BP18" s="540">
        <f t="shared" si="47"/>
        <v>0</v>
      </c>
      <c r="BQ18" s="540">
        <f t="shared" si="30"/>
        <v>0</v>
      </c>
      <c r="BR18" s="536">
        <f t="shared" si="31"/>
        <v>0</v>
      </c>
      <c r="BS18" s="538">
        <f t="shared" si="48"/>
        <v>0</v>
      </c>
      <c r="BT18" s="220">
        <f t="shared" si="32"/>
        <v>0</v>
      </c>
      <c r="BU18" s="221">
        <f t="shared" si="33"/>
        <v>0</v>
      </c>
      <c r="BV18" s="537">
        <f t="shared" si="34"/>
        <v>0</v>
      </c>
      <c r="BW18" s="536">
        <f t="shared" si="35"/>
        <v>0</v>
      </c>
      <c r="BX18" s="540">
        <f t="shared" si="49"/>
        <v>0</v>
      </c>
      <c r="BY18" s="536">
        <f t="shared" si="36"/>
        <v>0</v>
      </c>
      <c r="BZ18" s="538">
        <f t="shared" si="37"/>
        <v>0</v>
      </c>
      <c r="CA18" s="217">
        <f t="shared" si="38"/>
        <v>0</v>
      </c>
      <c r="CB18" s="541">
        <f t="shared" si="39"/>
        <v>0</v>
      </c>
      <c r="CC18" s="38">
        <f t="shared" si="50"/>
        <v>0</v>
      </c>
    </row>
    <row r="19" spans="1:81">
      <c r="B19" s="226"/>
      <c r="C19" s="562" t="s">
        <v>84</v>
      </c>
      <c r="D19" s="461"/>
      <c r="E19" s="215"/>
      <c r="F19" s="216">
        <f t="shared" si="0"/>
        <v>0</v>
      </c>
      <c r="G19" s="214"/>
      <c r="H19" s="214"/>
      <c r="I19" s="214"/>
      <c r="J19" s="214"/>
      <c r="K19" s="214"/>
      <c r="L19" s="214"/>
      <c r="M19" s="214"/>
      <c r="N19" s="214"/>
      <c r="O19" s="214"/>
      <c r="P19" s="214"/>
      <c r="Q19" s="214"/>
      <c r="R19" s="214"/>
      <c r="S19" s="217">
        <f t="shared" si="1"/>
        <v>0</v>
      </c>
      <c r="T19" s="218">
        <f t="shared" si="2"/>
        <v>0</v>
      </c>
      <c r="U19" s="217">
        <f t="shared" si="51"/>
        <v>0</v>
      </c>
      <c r="V19" s="217">
        <f t="shared" si="52"/>
        <v>0</v>
      </c>
      <c r="W19" s="217">
        <f t="shared" si="5"/>
        <v>0</v>
      </c>
      <c r="X19" s="219"/>
      <c r="Y19" s="536">
        <f t="shared" si="6"/>
        <v>0.05</v>
      </c>
      <c r="Z19" s="220">
        <f t="shared" si="7"/>
        <v>0</v>
      </c>
      <c r="AA19" s="221">
        <f t="shared" si="8"/>
        <v>0</v>
      </c>
      <c r="AB19" s="537">
        <f t="shared" si="9"/>
        <v>0</v>
      </c>
      <c r="AC19" s="536">
        <f t="shared" si="10"/>
        <v>0</v>
      </c>
      <c r="AD19" s="538">
        <f t="shared" si="11"/>
        <v>0</v>
      </c>
      <c r="AE19" s="538">
        <f t="shared" si="12"/>
        <v>0</v>
      </c>
      <c r="AF19" s="536">
        <f t="shared" si="13"/>
        <v>0</v>
      </c>
      <c r="AG19" s="538">
        <f t="shared" si="40"/>
        <v>0</v>
      </c>
      <c r="AH19" s="225">
        <f t="shared" si="14"/>
        <v>0</v>
      </c>
      <c r="AI19" s="221">
        <f t="shared" si="15"/>
        <v>0</v>
      </c>
      <c r="AJ19" s="537">
        <f t="shared" si="16"/>
        <v>0</v>
      </c>
      <c r="AK19" s="536">
        <f t="shared" si="17"/>
        <v>0</v>
      </c>
      <c r="AL19" s="540">
        <f t="shared" si="41"/>
        <v>0</v>
      </c>
      <c r="AM19" s="540">
        <f t="shared" si="18"/>
        <v>0</v>
      </c>
      <c r="AN19" s="536">
        <f t="shared" si="19"/>
        <v>0</v>
      </c>
      <c r="AO19" s="538">
        <f t="shared" si="42"/>
        <v>0</v>
      </c>
      <c r="AP19" s="225">
        <f t="shared" si="20"/>
        <v>0</v>
      </c>
      <c r="AQ19" s="221">
        <f t="shared" si="21"/>
        <v>0</v>
      </c>
      <c r="AR19" s="537">
        <f t="shared" si="22"/>
        <v>0</v>
      </c>
      <c r="AS19" s="536">
        <f t="shared" si="23"/>
        <v>0</v>
      </c>
      <c r="AT19" s="540">
        <f t="shared" si="43"/>
        <v>0</v>
      </c>
      <c r="AU19" s="540">
        <f t="shared" si="24"/>
        <v>0</v>
      </c>
      <c r="AV19" s="536">
        <f t="shared" si="25"/>
        <v>0</v>
      </c>
      <c r="AW19" s="538">
        <f t="shared" si="44"/>
        <v>0</v>
      </c>
      <c r="AX19" s="223">
        <v>0</v>
      </c>
      <c r="AY19" s="221">
        <v>0</v>
      </c>
      <c r="AZ19" s="537">
        <v>0</v>
      </c>
      <c r="BA19" s="536">
        <v>0</v>
      </c>
      <c r="BB19" s="540">
        <f t="shared" si="26"/>
        <v>0</v>
      </c>
      <c r="BC19" s="536">
        <f t="shared" si="27"/>
        <v>0</v>
      </c>
      <c r="BD19" s="538">
        <f t="shared" si="45"/>
        <v>0</v>
      </c>
      <c r="BE19" s="223">
        <v>0</v>
      </c>
      <c r="BF19" s="221">
        <v>0</v>
      </c>
      <c r="BG19" s="537">
        <v>0</v>
      </c>
      <c r="BH19" s="536">
        <v>0</v>
      </c>
      <c r="BI19" s="540">
        <f t="shared" si="28"/>
        <v>0</v>
      </c>
      <c r="BJ19" s="536">
        <f t="shared" si="29"/>
        <v>0</v>
      </c>
      <c r="BK19" s="538">
        <f t="shared" si="46"/>
        <v>0</v>
      </c>
      <c r="BL19" s="223">
        <v>0</v>
      </c>
      <c r="BM19" s="221">
        <v>0</v>
      </c>
      <c r="BN19" s="537">
        <v>0</v>
      </c>
      <c r="BO19" s="536">
        <v>0</v>
      </c>
      <c r="BP19" s="540">
        <f t="shared" si="47"/>
        <v>0</v>
      </c>
      <c r="BQ19" s="540">
        <f t="shared" si="30"/>
        <v>0</v>
      </c>
      <c r="BR19" s="536">
        <f t="shared" si="31"/>
        <v>0</v>
      </c>
      <c r="BS19" s="538">
        <f t="shared" si="48"/>
        <v>0</v>
      </c>
      <c r="BT19" s="220">
        <f t="shared" si="32"/>
        <v>0</v>
      </c>
      <c r="BU19" s="221">
        <f t="shared" si="33"/>
        <v>0</v>
      </c>
      <c r="BV19" s="537">
        <f t="shared" si="34"/>
        <v>0</v>
      </c>
      <c r="BW19" s="536">
        <f t="shared" si="35"/>
        <v>0</v>
      </c>
      <c r="BX19" s="540">
        <f t="shared" si="49"/>
        <v>0</v>
      </c>
      <c r="BY19" s="536">
        <f t="shared" si="36"/>
        <v>0</v>
      </c>
      <c r="BZ19" s="538">
        <f t="shared" si="37"/>
        <v>0</v>
      </c>
      <c r="CA19" s="217">
        <f t="shared" si="38"/>
        <v>0</v>
      </c>
      <c r="CB19" s="541">
        <f t="shared" si="39"/>
        <v>0</v>
      </c>
      <c r="CC19" s="38">
        <f t="shared" si="50"/>
        <v>0</v>
      </c>
    </row>
    <row r="20" spans="1:81" ht="15" customHeight="1">
      <c r="B20" s="213" t="s">
        <v>86</v>
      </c>
      <c r="C20" s="562" t="s">
        <v>84</v>
      </c>
      <c r="D20" s="461"/>
      <c r="E20" s="215"/>
      <c r="F20" s="216">
        <f t="shared" si="0"/>
        <v>0</v>
      </c>
      <c r="G20" s="214"/>
      <c r="H20" s="214"/>
      <c r="I20" s="214"/>
      <c r="J20" s="214"/>
      <c r="K20" s="214"/>
      <c r="L20" s="214"/>
      <c r="M20" s="214"/>
      <c r="N20" s="214"/>
      <c r="O20" s="214"/>
      <c r="P20" s="214"/>
      <c r="Q20" s="214"/>
      <c r="R20" s="214"/>
      <c r="S20" s="217">
        <f t="shared" si="1"/>
        <v>0</v>
      </c>
      <c r="T20" s="218">
        <f t="shared" si="2"/>
        <v>0</v>
      </c>
      <c r="U20" s="217">
        <f t="shared" si="51"/>
        <v>0</v>
      </c>
      <c r="V20" s="217">
        <f t="shared" si="52"/>
        <v>0</v>
      </c>
      <c r="W20" s="217">
        <f t="shared" si="5"/>
        <v>0</v>
      </c>
      <c r="X20" s="219"/>
      <c r="Y20" s="536">
        <f t="shared" si="6"/>
        <v>0.05</v>
      </c>
      <c r="Z20" s="220">
        <f t="shared" si="7"/>
        <v>0</v>
      </c>
      <c r="AA20" s="221">
        <f t="shared" si="8"/>
        <v>0</v>
      </c>
      <c r="AB20" s="537">
        <f t="shared" si="9"/>
        <v>0</v>
      </c>
      <c r="AC20" s="536">
        <f t="shared" si="10"/>
        <v>0</v>
      </c>
      <c r="AD20" s="538">
        <f t="shared" si="11"/>
        <v>0</v>
      </c>
      <c r="AE20" s="600">
        <f t="shared" si="12"/>
        <v>0</v>
      </c>
      <c r="AF20" s="536">
        <f t="shared" si="13"/>
        <v>0</v>
      </c>
      <c r="AG20" s="538">
        <f t="shared" si="40"/>
        <v>0</v>
      </c>
      <c r="AH20" s="225">
        <f t="shared" si="14"/>
        <v>0</v>
      </c>
      <c r="AI20" s="221">
        <f t="shared" si="15"/>
        <v>0</v>
      </c>
      <c r="AJ20" s="537">
        <f t="shared" si="16"/>
        <v>0</v>
      </c>
      <c r="AK20" s="536">
        <f t="shared" si="17"/>
        <v>0</v>
      </c>
      <c r="AL20" s="540">
        <f t="shared" si="41"/>
        <v>0</v>
      </c>
      <c r="AM20" s="540">
        <f t="shared" si="18"/>
        <v>0</v>
      </c>
      <c r="AN20" s="536">
        <f t="shared" si="19"/>
        <v>0</v>
      </c>
      <c r="AO20" s="538">
        <f t="shared" si="42"/>
        <v>0</v>
      </c>
      <c r="AP20" s="225">
        <f t="shared" si="20"/>
        <v>0</v>
      </c>
      <c r="AQ20" s="221">
        <f t="shared" si="21"/>
        <v>0</v>
      </c>
      <c r="AR20" s="537">
        <f t="shared" si="22"/>
        <v>0</v>
      </c>
      <c r="AS20" s="536">
        <f t="shared" si="23"/>
        <v>0</v>
      </c>
      <c r="AT20" s="540">
        <f t="shared" si="43"/>
        <v>0</v>
      </c>
      <c r="AU20" s="540">
        <f t="shared" si="24"/>
        <v>0</v>
      </c>
      <c r="AV20" s="536">
        <f t="shared" si="25"/>
        <v>0</v>
      </c>
      <c r="AW20" s="538">
        <f t="shared" si="44"/>
        <v>0</v>
      </c>
      <c r="AX20" s="223">
        <v>0</v>
      </c>
      <c r="AY20" s="221">
        <v>0</v>
      </c>
      <c r="AZ20" s="537">
        <v>0</v>
      </c>
      <c r="BA20" s="536">
        <v>0</v>
      </c>
      <c r="BB20" s="540">
        <f t="shared" si="26"/>
        <v>0</v>
      </c>
      <c r="BC20" s="536">
        <f t="shared" si="27"/>
        <v>0</v>
      </c>
      <c r="BD20" s="538">
        <f t="shared" si="45"/>
        <v>0</v>
      </c>
      <c r="BE20" s="223">
        <v>0</v>
      </c>
      <c r="BF20" s="221">
        <v>0</v>
      </c>
      <c r="BG20" s="537">
        <v>0</v>
      </c>
      <c r="BH20" s="536">
        <v>0</v>
      </c>
      <c r="BI20" s="540">
        <f t="shared" si="28"/>
        <v>0</v>
      </c>
      <c r="BJ20" s="536">
        <f t="shared" si="29"/>
        <v>0</v>
      </c>
      <c r="BK20" s="538">
        <f t="shared" si="46"/>
        <v>0</v>
      </c>
      <c r="BL20" s="223">
        <v>0</v>
      </c>
      <c r="BM20" s="221">
        <v>0</v>
      </c>
      <c r="BN20" s="537">
        <v>0</v>
      </c>
      <c r="BO20" s="536">
        <v>0</v>
      </c>
      <c r="BP20" s="540">
        <f t="shared" si="47"/>
        <v>0</v>
      </c>
      <c r="BQ20" s="540">
        <f t="shared" si="30"/>
        <v>0</v>
      </c>
      <c r="BR20" s="536">
        <f t="shared" si="31"/>
        <v>0</v>
      </c>
      <c r="BS20" s="538">
        <f t="shared" si="48"/>
        <v>0</v>
      </c>
      <c r="BT20" s="220">
        <f t="shared" si="32"/>
        <v>0</v>
      </c>
      <c r="BU20" s="221">
        <f t="shared" si="33"/>
        <v>0</v>
      </c>
      <c r="BV20" s="537">
        <f t="shared" si="34"/>
        <v>0</v>
      </c>
      <c r="BW20" s="536">
        <f t="shared" si="35"/>
        <v>0</v>
      </c>
      <c r="BX20" s="540">
        <f t="shared" si="49"/>
        <v>0</v>
      </c>
      <c r="BY20" s="536">
        <f t="shared" si="36"/>
        <v>0</v>
      </c>
      <c r="BZ20" s="538">
        <f t="shared" si="37"/>
        <v>0</v>
      </c>
      <c r="CA20" s="217">
        <f t="shared" si="38"/>
        <v>0</v>
      </c>
      <c r="CB20" s="541">
        <f t="shared" si="39"/>
        <v>0</v>
      </c>
      <c r="CC20" s="38">
        <f t="shared" si="50"/>
        <v>0</v>
      </c>
    </row>
    <row r="21" spans="1:81">
      <c r="B21" s="224" t="s">
        <v>85</v>
      </c>
      <c r="C21" s="562" t="s">
        <v>84</v>
      </c>
      <c r="D21" s="461"/>
      <c r="E21" s="215"/>
      <c r="F21" s="216">
        <f t="shared" si="0"/>
        <v>0</v>
      </c>
      <c r="G21" s="214"/>
      <c r="H21" s="214"/>
      <c r="I21" s="214"/>
      <c r="J21" s="214"/>
      <c r="K21" s="214"/>
      <c r="L21" s="214"/>
      <c r="M21" s="214"/>
      <c r="N21" s="214"/>
      <c r="O21" s="214"/>
      <c r="P21" s="214"/>
      <c r="Q21" s="214"/>
      <c r="R21" s="214"/>
      <c r="S21" s="217">
        <f t="shared" si="1"/>
        <v>0</v>
      </c>
      <c r="T21" s="218">
        <f t="shared" si="2"/>
        <v>0</v>
      </c>
      <c r="U21" s="217">
        <f t="shared" si="51"/>
        <v>0</v>
      </c>
      <c r="V21" s="217">
        <f t="shared" si="52"/>
        <v>0</v>
      </c>
      <c r="W21" s="217">
        <f t="shared" si="5"/>
        <v>0</v>
      </c>
      <c r="X21" s="219"/>
      <c r="Y21" s="536">
        <f t="shared" si="6"/>
        <v>0.05</v>
      </c>
      <c r="Z21" s="220">
        <f t="shared" si="7"/>
        <v>0</v>
      </c>
      <c r="AA21" s="221">
        <f t="shared" si="8"/>
        <v>0</v>
      </c>
      <c r="AB21" s="537">
        <f t="shared" si="9"/>
        <v>0</v>
      </c>
      <c r="AC21" s="536">
        <f t="shared" si="10"/>
        <v>0</v>
      </c>
      <c r="AD21" s="538">
        <f t="shared" si="11"/>
        <v>0</v>
      </c>
      <c r="AE21" s="538">
        <f t="shared" si="12"/>
        <v>0</v>
      </c>
      <c r="AF21" s="536">
        <f t="shared" si="13"/>
        <v>0</v>
      </c>
      <c r="AG21" s="538">
        <f t="shared" si="40"/>
        <v>0</v>
      </c>
      <c r="AH21" s="225">
        <f t="shared" si="14"/>
        <v>0</v>
      </c>
      <c r="AI21" s="221">
        <f t="shared" si="15"/>
        <v>0</v>
      </c>
      <c r="AJ21" s="537">
        <f t="shared" si="16"/>
        <v>0</v>
      </c>
      <c r="AK21" s="536">
        <f t="shared" si="17"/>
        <v>0</v>
      </c>
      <c r="AL21" s="540">
        <f t="shared" si="41"/>
        <v>0</v>
      </c>
      <c r="AM21" s="540">
        <f t="shared" si="18"/>
        <v>0</v>
      </c>
      <c r="AN21" s="536">
        <f t="shared" si="19"/>
        <v>0</v>
      </c>
      <c r="AO21" s="538">
        <f t="shared" si="42"/>
        <v>0</v>
      </c>
      <c r="AP21" s="225">
        <f t="shared" si="20"/>
        <v>0</v>
      </c>
      <c r="AQ21" s="221">
        <f t="shared" si="21"/>
        <v>0</v>
      </c>
      <c r="AR21" s="537">
        <f t="shared" si="22"/>
        <v>0</v>
      </c>
      <c r="AS21" s="536">
        <f t="shared" si="23"/>
        <v>0</v>
      </c>
      <c r="AT21" s="540">
        <f t="shared" si="43"/>
        <v>0</v>
      </c>
      <c r="AU21" s="540">
        <f t="shared" si="24"/>
        <v>0</v>
      </c>
      <c r="AV21" s="536">
        <f t="shared" si="25"/>
        <v>0</v>
      </c>
      <c r="AW21" s="538">
        <f t="shared" si="44"/>
        <v>0</v>
      </c>
      <c r="AX21" s="223">
        <v>0</v>
      </c>
      <c r="AY21" s="221">
        <v>0</v>
      </c>
      <c r="AZ21" s="537">
        <v>0</v>
      </c>
      <c r="BA21" s="536">
        <v>0</v>
      </c>
      <c r="BB21" s="540">
        <f t="shared" si="26"/>
        <v>0</v>
      </c>
      <c r="BC21" s="536">
        <f t="shared" si="27"/>
        <v>0</v>
      </c>
      <c r="BD21" s="538">
        <f t="shared" si="45"/>
        <v>0</v>
      </c>
      <c r="BE21" s="223">
        <v>0</v>
      </c>
      <c r="BF21" s="221">
        <v>0</v>
      </c>
      <c r="BG21" s="537">
        <v>0</v>
      </c>
      <c r="BH21" s="536">
        <v>0</v>
      </c>
      <c r="BI21" s="540">
        <f t="shared" si="28"/>
        <v>0</v>
      </c>
      <c r="BJ21" s="536">
        <f t="shared" si="29"/>
        <v>0</v>
      </c>
      <c r="BK21" s="538">
        <f t="shared" si="46"/>
        <v>0</v>
      </c>
      <c r="BL21" s="223">
        <v>0</v>
      </c>
      <c r="BM21" s="221">
        <v>0</v>
      </c>
      <c r="BN21" s="537">
        <v>0</v>
      </c>
      <c r="BO21" s="536">
        <v>0</v>
      </c>
      <c r="BP21" s="540">
        <f t="shared" si="47"/>
        <v>0</v>
      </c>
      <c r="BQ21" s="540">
        <f t="shared" si="30"/>
        <v>0</v>
      </c>
      <c r="BR21" s="536">
        <f t="shared" si="31"/>
        <v>0</v>
      </c>
      <c r="BS21" s="538">
        <f t="shared" si="48"/>
        <v>0</v>
      </c>
      <c r="BT21" s="220">
        <f t="shared" si="32"/>
        <v>0</v>
      </c>
      <c r="BU21" s="221">
        <f t="shared" si="33"/>
        <v>0</v>
      </c>
      <c r="BV21" s="537">
        <f t="shared" si="34"/>
        <v>0</v>
      </c>
      <c r="BW21" s="536">
        <f t="shared" si="35"/>
        <v>0</v>
      </c>
      <c r="BX21" s="540">
        <f t="shared" si="49"/>
        <v>0</v>
      </c>
      <c r="BY21" s="536">
        <f t="shared" si="36"/>
        <v>0</v>
      </c>
      <c r="BZ21" s="538">
        <f t="shared" si="37"/>
        <v>0</v>
      </c>
      <c r="CA21" s="217">
        <f t="shared" si="38"/>
        <v>0</v>
      </c>
      <c r="CB21" s="541">
        <f t="shared" si="39"/>
        <v>0</v>
      </c>
      <c r="CC21" s="38">
        <f t="shared" si="50"/>
        <v>0</v>
      </c>
    </row>
    <row r="22" spans="1:81">
      <c r="B22" s="224"/>
      <c r="C22" s="562" t="s">
        <v>84</v>
      </c>
      <c r="D22" s="461"/>
      <c r="E22" s="215"/>
      <c r="F22" s="216">
        <f t="shared" si="0"/>
        <v>0</v>
      </c>
      <c r="G22" s="214"/>
      <c r="H22" s="214"/>
      <c r="I22" s="214"/>
      <c r="J22" s="214"/>
      <c r="K22" s="214"/>
      <c r="L22" s="214"/>
      <c r="M22" s="214"/>
      <c r="N22" s="214"/>
      <c r="O22" s="214"/>
      <c r="P22" s="214"/>
      <c r="Q22" s="214"/>
      <c r="R22" s="214"/>
      <c r="S22" s="217">
        <f t="shared" si="1"/>
        <v>0</v>
      </c>
      <c r="T22" s="218">
        <f t="shared" si="2"/>
        <v>0</v>
      </c>
      <c r="U22" s="217">
        <f t="shared" si="51"/>
        <v>0</v>
      </c>
      <c r="V22" s="217">
        <f t="shared" si="52"/>
        <v>0</v>
      </c>
      <c r="W22" s="217">
        <f t="shared" si="5"/>
        <v>0</v>
      </c>
      <c r="X22" s="219"/>
      <c r="Y22" s="536">
        <f t="shared" si="6"/>
        <v>0.05</v>
      </c>
      <c r="Z22" s="220">
        <f t="shared" si="7"/>
        <v>0</v>
      </c>
      <c r="AA22" s="221">
        <f t="shared" si="8"/>
        <v>0</v>
      </c>
      <c r="AB22" s="537">
        <f t="shared" si="9"/>
        <v>0</v>
      </c>
      <c r="AC22" s="536">
        <f t="shared" si="10"/>
        <v>0</v>
      </c>
      <c r="AD22" s="538">
        <f t="shared" si="11"/>
        <v>0</v>
      </c>
      <c r="AE22" s="538">
        <f t="shared" si="12"/>
        <v>0</v>
      </c>
      <c r="AF22" s="536">
        <f t="shared" si="13"/>
        <v>0</v>
      </c>
      <c r="AG22" s="538">
        <f t="shared" si="40"/>
        <v>0</v>
      </c>
      <c r="AH22" s="225">
        <f t="shared" si="14"/>
        <v>0</v>
      </c>
      <c r="AI22" s="221">
        <f t="shared" si="15"/>
        <v>0</v>
      </c>
      <c r="AJ22" s="537">
        <f t="shared" si="16"/>
        <v>0</v>
      </c>
      <c r="AK22" s="536">
        <f t="shared" si="17"/>
        <v>0</v>
      </c>
      <c r="AL22" s="540">
        <f t="shared" si="41"/>
        <v>0</v>
      </c>
      <c r="AM22" s="540">
        <f t="shared" si="18"/>
        <v>0</v>
      </c>
      <c r="AN22" s="536">
        <f t="shared" si="19"/>
        <v>0</v>
      </c>
      <c r="AO22" s="538">
        <f t="shared" si="42"/>
        <v>0</v>
      </c>
      <c r="AP22" s="225">
        <f t="shared" si="20"/>
        <v>0</v>
      </c>
      <c r="AQ22" s="221">
        <f t="shared" si="21"/>
        <v>0</v>
      </c>
      <c r="AR22" s="537">
        <f t="shared" si="22"/>
        <v>0</v>
      </c>
      <c r="AS22" s="536">
        <f t="shared" si="23"/>
        <v>0</v>
      </c>
      <c r="AT22" s="540">
        <f t="shared" si="43"/>
        <v>0</v>
      </c>
      <c r="AU22" s="540">
        <f t="shared" si="24"/>
        <v>0</v>
      </c>
      <c r="AV22" s="536">
        <f t="shared" si="25"/>
        <v>0</v>
      </c>
      <c r="AW22" s="538">
        <f t="shared" si="44"/>
        <v>0</v>
      </c>
      <c r="AX22" s="223">
        <v>0</v>
      </c>
      <c r="AY22" s="221">
        <v>0</v>
      </c>
      <c r="AZ22" s="537">
        <v>0</v>
      </c>
      <c r="BA22" s="536">
        <v>0</v>
      </c>
      <c r="BB22" s="540">
        <f t="shared" si="26"/>
        <v>0</v>
      </c>
      <c r="BC22" s="536">
        <f t="shared" si="27"/>
        <v>0</v>
      </c>
      <c r="BD22" s="538">
        <f t="shared" si="45"/>
        <v>0</v>
      </c>
      <c r="BE22" s="223">
        <v>0</v>
      </c>
      <c r="BF22" s="221">
        <v>0</v>
      </c>
      <c r="BG22" s="537">
        <v>0</v>
      </c>
      <c r="BH22" s="536">
        <v>0</v>
      </c>
      <c r="BI22" s="540">
        <f t="shared" si="28"/>
        <v>0</v>
      </c>
      <c r="BJ22" s="536">
        <f t="shared" si="29"/>
        <v>0</v>
      </c>
      <c r="BK22" s="538">
        <f t="shared" si="46"/>
        <v>0</v>
      </c>
      <c r="BL22" s="223">
        <v>0</v>
      </c>
      <c r="BM22" s="221">
        <v>0</v>
      </c>
      <c r="BN22" s="537">
        <v>0</v>
      </c>
      <c r="BO22" s="536">
        <v>0</v>
      </c>
      <c r="BP22" s="540">
        <f t="shared" si="47"/>
        <v>0</v>
      </c>
      <c r="BQ22" s="540">
        <f t="shared" si="30"/>
        <v>0</v>
      </c>
      <c r="BR22" s="536">
        <f t="shared" si="31"/>
        <v>0</v>
      </c>
      <c r="BS22" s="538">
        <f t="shared" si="48"/>
        <v>0</v>
      </c>
      <c r="BT22" s="220">
        <f t="shared" si="32"/>
        <v>0</v>
      </c>
      <c r="BU22" s="221">
        <f t="shared" si="33"/>
        <v>0</v>
      </c>
      <c r="BV22" s="537">
        <f t="shared" si="34"/>
        <v>0</v>
      </c>
      <c r="BW22" s="536">
        <f t="shared" si="35"/>
        <v>0</v>
      </c>
      <c r="BX22" s="540">
        <f t="shared" si="49"/>
        <v>0</v>
      </c>
      <c r="BY22" s="536">
        <f t="shared" si="36"/>
        <v>0</v>
      </c>
      <c r="BZ22" s="538">
        <f t="shared" si="37"/>
        <v>0</v>
      </c>
      <c r="CA22" s="217">
        <f t="shared" si="38"/>
        <v>0</v>
      </c>
      <c r="CB22" s="541">
        <f t="shared" si="39"/>
        <v>0</v>
      </c>
      <c r="CC22" s="38">
        <f t="shared" si="50"/>
        <v>0</v>
      </c>
    </row>
    <row r="23" spans="1:81" ht="15.75" customHeight="1">
      <c r="B23" s="226"/>
      <c r="C23" s="562" t="s">
        <v>84</v>
      </c>
      <c r="D23" s="461"/>
      <c r="E23" s="215"/>
      <c r="F23" s="216">
        <f t="shared" si="0"/>
        <v>0</v>
      </c>
      <c r="G23" s="214"/>
      <c r="H23" s="214"/>
      <c r="I23" s="214"/>
      <c r="J23" s="214"/>
      <c r="K23" s="214"/>
      <c r="L23" s="214"/>
      <c r="M23" s="214"/>
      <c r="N23" s="214"/>
      <c r="O23" s="214"/>
      <c r="P23" s="214"/>
      <c r="Q23" s="214"/>
      <c r="R23" s="214"/>
      <c r="S23" s="217">
        <f t="shared" si="1"/>
        <v>0</v>
      </c>
      <c r="T23" s="218">
        <f t="shared" si="2"/>
        <v>0</v>
      </c>
      <c r="U23" s="217">
        <f t="shared" si="51"/>
        <v>0</v>
      </c>
      <c r="V23" s="217">
        <f t="shared" si="52"/>
        <v>0</v>
      </c>
      <c r="W23" s="217">
        <f t="shared" si="5"/>
        <v>0</v>
      </c>
      <c r="X23" s="219"/>
      <c r="Y23" s="536">
        <f t="shared" si="6"/>
        <v>0.05</v>
      </c>
      <c r="Z23" s="220">
        <f t="shared" si="7"/>
        <v>0</v>
      </c>
      <c r="AA23" s="221">
        <f t="shared" si="8"/>
        <v>0</v>
      </c>
      <c r="AB23" s="537">
        <f t="shared" si="9"/>
        <v>0</v>
      </c>
      <c r="AC23" s="536">
        <f t="shared" si="10"/>
        <v>0</v>
      </c>
      <c r="AD23" s="538">
        <f t="shared" si="11"/>
        <v>0</v>
      </c>
      <c r="AE23" s="538">
        <f t="shared" si="12"/>
        <v>0</v>
      </c>
      <c r="AF23" s="536">
        <f t="shared" si="13"/>
        <v>0</v>
      </c>
      <c r="AG23" s="538">
        <f t="shared" si="40"/>
        <v>0</v>
      </c>
      <c r="AH23" s="225">
        <f t="shared" si="14"/>
        <v>0</v>
      </c>
      <c r="AI23" s="221">
        <f t="shared" si="15"/>
        <v>0</v>
      </c>
      <c r="AJ23" s="537">
        <f t="shared" si="16"/>
        <v>0</v>
      </c>
      <c r="AK23" s="536">
        <f t="shared" si="17"/>
        <v>0</v>
      </c>
      <c r="AL23" s="540">
        <f t="shared" si="41"/>
        <v>0</v>
      </c>
      <c r="AM23" s="540">
        <f t="shared" si="18"/>
        <v>0</v>
      </c>
      <c r="AN23" s="536">
        <f t="shared" si="19"/>
        <v>0</v>
      </c>
      <c r="AO23" s="538">
        <f t="shared" si="42"/>
        <v>0</v>
      </c>
      <c r="AP23" s="225">
        <f t="shared" si="20"/>
        <v>0</v>
      </c>
      <c r="AQ23" s="221">
        <f t="shared" si="21"/>
        <v>0</v>
      </c>
      <c r="AR23" s="537">
        <f t="shared" si="22"/>
        <v>0</v>
      </c>
      <c r="AS23" s="536">
        <f t="shared" si="23"/>
        <v>0</v>
      </c>
      <c r="AT23" s="540">
        <f t="shared" si="43"/>
        <v>0</v>
      </c>
      <c r="AU23" s="540">
        <f t="shared" si="24"/>
        <v>0</v>
      </c>
      <c r="AV23" s="536">
        <f t="shared" si="25"/>
        <v>0</v>
      </c>
      <c r="AW23" s="538">
        <f t="shared" si="44"/>
        <v>0</v>
      </c>
      <c r="AX23" s="223">
        <v>0</v>
      </c>
      <c r="AY23" s="221">
        <v>0</v>
      </c>
      <c r="AZ23" s="537">
        <v>0</v>
      </c>
      <c r="BA23" s="536">
        <v>0</v>
      </c>
      <c r="BB23" s="540">
        <f t="shared" si="26"/>
        <v>0</v>
      </c>
      <c r="BC23" s="536">
        <f t="shared" si="27"/>
        <v>0</v>
      </c>
      <c r="BD23" s="538">
        <f t="shared" si="45"/>
        <v>0</v>
      </c>
      <c r="BE23" s="223">
        <v>0</v>
      </c>
      <c r="BF23" s="221">
        <v>0</v>
      </c>
      <c r="BG23" s="537">
        <v>0</v>
      </c>
      <c r="BH23" s="536">
        <v>0</v>
      </c>
      <c r="BI23" s="540">
        <f t="shared" si="28"/>
        <v>0</v>
      </c>
      <c r="BJ23" s="536">
        <f t="shared" si="29"/>
        <v>0</v>
      </c>
      <c r="BK23" s="538">
        <f t="shared" si="46"/>
        <v>0</v>
      </c>
      <c r="BL23" s="223">
        <v>0</v>
      </c>
      <c r="BM23" s="221">
        <v>0</v>
      </c>
      <c r="BN23" s="537">
        <v>0</v>
      </c>
      <c r="BO23" s="536">
        <v>0</v>
      </c>
      <c r="BP23" s="540">
        <f t="shared" si="47"/>
        <v>0</v>
      </c>
      <c r="BQ23" s="540">
        <f t="shared" si="30"/>
        <v>0</v>
      </c>
      <c r="BR23" s="536">
        <f t="shared" si="31"/>
        <v>0</v>
      </c>
      <c r="BS23" s="538">
        <f t="shared" si="48"/>
        <v>0</v>
      </c>
      <c r="BT23" s="220">
        <f t="shared" si="32"/>
        <v>0</v>
      </c>
      <c r="BU23" s="221">
        <f t="shared" si="33"/>
        <v>0</v>
      </c>
      <c r="BV23" s="537">
        <f t="shared" si="34"/>
        <v>0</v>
      </c>
      <c r="BW23" s="536">
        <f t="shared" si="35"/>
        <v>0</v>
      </c>
      <c r="BX23" s="540">
        <f t="shared" si="49"/>
        <v>0</v>
      </c>
      <c r="BY23" s="536">
        <f t="shared" si="36"/>
        <v>0</v>
      </c>
      <c r="BZ23" s="538">
        <f t="shared" si="37"/>
        <v>0</v>
      </c>
      <c r="CA23" s="217">
        <f t="shared" si="38"/>
        <v>0</v>
      </c>
      <c r="CB23" s="541">
        <f t="shared" si="39"/>
        <v>0</v>
      </c>
      <c r="CC23" s="38">
        <f t="shared" si="50"/>
        <v>0</v>
      </c>
    </row>
    <row r="24" spans="1:81">
      <c r="B24" s="227" t="s">
        <v>87</v>
      </c>
      <c r="C24" s="228"/>
      <c r="D24" s="228"/>
      <c r="E24" s="228"/>
      <c r="F24" s="228"/>
      <c r="G24" s="229"/>
      <c r="H24" s="229"/>
      <c r="I24" s="229"/>
      <c r="J24" s="229"/>
      <c r="K24" s="229"/>
      <c r="L24" s="229"/>
      <c r="M24" s="229"/>
      <c r="N24" s="229"/>
      <c r="O24" s="229"/>
      <c r="P24" s="229"/>
      <c r="Q24" s="229"/>
      <c r="R24" s="229"/>
      <c r="S24" s="228"/>
      <c r="T24" s="228"/>
      <c r="U24" s="228"/>
      <c r="V24" s="228"/>
      <c r="W24" s="228"/>
      <c r="X24" s="230"/>
      <c r="Y24" s="228"/>
      <c r="Z24" s="231"/>
      <c r="AA24" s="228"/>
      <c r="AB24" s="232"/>
      <c r="AC24" s="228"/>
      <c r="AD24" s="233"/>
      <c r="AE24" s="234">
        <f>SUM(AE16:AE23)</f>
        <v>0</v>
      </c>
      <c r="AF24" s="534">
        <f>IF(AE24&gt;0,SQRT(SUM(AG16:AG23))/AE24,0)</f>
        <v>0</v>
      </c>
      <c r="AG24" s="234">
        <f t="shared" si="40"/>
        <v>0</v>
      </c>
      <c r="AH24" s="235"/>
      <c r="AI24" s="228"/>
      <c r="AJ24" s="236"/>
      <c r="AK24" s="228"/>
      <c r="AL24" s="237"/>
      <c r="AM24" s="234">
        <f>SUM(AM16:AM23)</f>
        <v>0</v>
      </c>
      <c r="AN24" s="534">
        <f>IF(AM24&gt;0,SQRT(SUM(AO16:AO23))/AM24,0)</f>
        <v>0</v>
      </c>
      <c r="AO24" s="234">
        <f t="shared" si="42"/>
        <v>0</v>
      </c>
      <c r="AP24" s="228"/>
      <c r="AQ24" s="228"/>
      <c r="AR24" s="236"/>
      <c r="AS24" s="228"/>
      <c r="AT24" s="228"/>
      <c r="AU24" s="234">
        <f>SUM(AU16:AU23)</f>
        <v>0</v>
      </c>
      <c r="AV24" s="534">
        <f>IF(AU24&gt;0,SQRT(SUM(AW16:AW23))/AU24,0)</f>
        <v>0</v>
      </c>
      <c r="AW24" s="234">
        <f t="shared" si="44"/>
        <v>0</v>
      </c>
      <c r="AX24" s="228"/>
      <c r="AY24" s="228"/>
      <c r="AZ24" s="236"/>
      <c r="BA24" s="228"/>
      <c r="BB24" s="234">
        <f>SUM(BB16:BB23)</f>
        <v>0</v>
      </c>
      <c r="BC24" s="534">
        <f>IF(BB24&gt;0,SQRT(SUM(BD16:BD23))/BB24,0)</f>
        <v>0</v>
      </c>
      <c r="BD24" s="234">
        <f t="shared" si="45"/>
        <v>0</v>
      </c>
      <c r="BE24" s="228"/>
      <c r="BF24" s="228"/>
      <c r="BG24" s="236"/>
      <c r="BH24" s="228"/>
      <c r="BI24" s="234">
        <f>SUM(BI16:BI23)</f>
        <v>0</v>
      </c>
      <c r="BJ24" s="534">
        <f>IF(BI24&gt;0,SQRT(SUM(BK16:BK23))/BI24,0)</f>
        <v>0</v>
      </c>
      <c r="BK24" s="234">
        <f t="shared" si="46"/>
        <v>0</v>
      </c>
      <c r="BL24" s="228"/>
      <c r="BM24" s="228"/>
      <c r="BN24" s="232"/>
      <c r="BO24" s="238"/>
      <c r="BP24" s="239"/>
      <c r="BQ24" s="234">
        <f>SUM(BQ16:BQ23)</f>
        <v>0</v>
      </c>
      <c r="BR24" s="534">
        <f>IF(BQ24&gt;0,SQRT(SUM(BS16:BS23))/BQ24,0)</f>
        <v>0</v>
      </c>
      <c r="BS24" s="234">
        <f t="shared" si="48"/>
        <v>0</v>
      </c>
      <c r="BT24" s="228"/>
      <c r="BU24" s="228"/>
      <c r="BV24" s="232"/>
      <c r="BW24" s="238"/>
      <c r="BX24" s="234">
        <f>SUM(BX16:BX23)</f>
        <v>0</v>
      </c>
      <c r="BY24" s="534">
        <f>IF(BX24&gt;0,SQRT(SUM(BZ16:BZ23))/BX24,0)</f>
        <v>0</v>
      </c>
      <c r="BZ24" s="234">
        <f t="shared" si="37"/>
        <v>0</v>
      </c>
      <c r="CA24" s="234">
        <f>SUM(CA16:CA23)</f>
        <v>0</v>
      </c>
      <c r="CB24" s="535">
        <f>IF(CA24&gt;0,SQRT(SUM(CC16:CC23))/CA24,0)</f>
        <v>0</v>
      </c>
      <c r="CC24" s="38">
        <f t="shared" si="50"/>
        <v>0</v>
      </c>
    </row>
    <row r="25" spans="1:81">
      <c r="B25" s="749" t="s">
        <v>88</v>
      </c>
      <c r="C25" s="217" t="s">
        <v>84</v>
      </c>
      <c r="D25" s="461"/>
      <c r="E25" s="240"/>
      <c r="F25" s="216">
        <f>VLOOKUP($E25,$CD$114:$DH$479,2,FALSE)</f>
        <v>0</v>
      </c>
      <c r="G25" s="214"/>
      <c r="H25" s="214"/>
      <c r="I25" s="214"/>
      <c r="J25" s="214"/>
      <c r="K25" s="214"/>
      <c r="L25" s="214"/>
      <c r="M25" s="214"/>
      <c r="N25" s="214"/>
      <c r="O25" s="214"/>
      <c r="P25" s="214"/>
      <c r="Q25" s="214"/>
      <c r="R25" s="214"/>
      <c r="S25" s="217">
        <f t="shared" ref="S25:S26" si="53">SUM(G25:R25)</f>
        <v>0</v>
      </c>
      <c r="T25" s="218">
        <f t="shared" ref="T25:T26" si="54">COUNT(G25:R25)</f>
        <v>0</v>
      </c>
      <c r="U25" s="217">
        <f t="shared" ref="U25:U26" si="55">IF(T25&gt;1,AVERAGE(G25:R25),0)</f>
        <v>0</v>
      </c>
      <c r="V25" s="217">
        <f t="shared" ref="V25:V26" si="56">IF(T25&gt;1,STDEV(G25:R25),0)</f>
        <v>0</v>
      </c>
      <c r="W25" s="217">
        <f>IF(T25&gt;1,VLOOKUP($T25,$CD$383:$CE$395,2,FALSE),0)</f>
        <v>0</v>
      </c>
      <c r="X25" s="219"/>
      <c r="Y25" s="536">
        <f>IF(X25&gt;0,X25,IF(T25&gt;1,1-((U25-((V25*W25)/(SQRT(T25))))/U25),VLOOKUP($E25,$CD$114:$DK$479,34,FALSE)))</f>
        <v>0.05</v>
      </c>
      <c r="Z25" s="220">
        <f>VLOOKUP($E25,$CD$114:$DH$479,3,FALSE)</f>
        <v>0</v>
      </c>
      <c r="AA25" s="221">
        <f>VLOOKUP($E25,$CD$114:$DH$479,4,FALSE)</f>
        <v>0</v>
      </c>
      <c r="AB25" s="537">
        <f>IF($S25&gt;0,VLOOKUP($E25,$CD$114:$DH$479,7,FALSE),0)</f>
        <v>0</v>
      </c>
      <c r="AC25" s="536">
        <f>IF($S25&gt;0,VLOOKUP($E25,$CD$114:$DH$479,6,FALSE),0)</f>
        <v>0</v>
      </c>
      <c r="AD25" s="538">
        <f t="shared" ref="AD25:AD26" si="57">($S25*Z25)/1000</f>
        <v>0</v>
      </c>
      <c r="AE25" s="538">
        <f>AD25*$CE$401</f>
        <v>0</v>
      </c>
      <c r="AF25" s="536">
        <f>IF(AD25&gt;0,SQRT(($Y25*$Y25)+(AC25*AC25)),0)</f>
        <v>0</v>
      </c>
      <c r="AG25" s="538">
        <f t="shared" ref="AG25:AG28" si="58">(AE25*AF25)^2</f>
        <v>0</v>
      </c>
      <c r="AH25" s="225">
        <v>0</v>
      </c>
      <c r="AI25" s="221">
        <v>0</v>
      </c>
      <c r="AJ25" s="537">
        <v>0</v>
      </c>
      <c r="AK25" s="536">
        <v>0</v>
      </c>
      <c r="AL25" s="540">
        <f t="shared" ref="AL25:AL26" si="59">($S25*AH25)/1000</f>
        <v>0</v>
      </c>
      <c r="AM25" s="540">
        <f>AL25*$CE$402</f>
        <v>0</v>
      </c>
      <c r="AN25" s="536">
        <f>IF(AL25&gt;0,SQRT(($Y25*$Y25)+(AK25*AK25)),0)</f>
        <v>0</v>
      </c>
      <c r="AO25" s="538">
        <f t="shared" ref="AO25:AO28" si="60">(AM25*AN25)^2</f>
        <v>0</v>
      </c>
      <c r="AP25" s="225">
        <v>0</v>
      </c>
      <c r="AQ25" s="221">
        <v>0</v>
      </c>
      <c r="AR25" s="537">
        <v>0</v>
      </c>
      <c r="AS25" s="536">
        <v>0</v>
      </c>
      <c r="AT25" s="540">
        <f>($S25*AP25)/1000</f>
        <v>0</v>
      </c>
      <c r="AU25" s="540">
        <f>AT25*$CE$403</f>
        <v>0</v>
      </c>
      <c r="AV25" s="536">
        <f>IF(AT25&gt;0,SQRT(($Y25*$Y25)+(AS25*AS25)),0)</f>
        <v>0</v>
      </c>
      <c r="AW25" s="538">
        <f t="shared" ref="AW25:AW28" si="61">(AU25*AV25)^2</f>
        <v>0</v>
      </c>
      <c r="AX25" s="223">
        <v>0</v>
      </c>
      <c r="AY25" s="221">
        <v>0</v>
      </c>
      <c r="AZ25" s="537">
        <v>0</v>
      </c>
      <c r="BA25" s="536">
        <v>0</v>
      </c>
      <c r="BB25" s="540">
        <f t="shared" ref="BB25:BB26" si="62">($S25*AX25)/1000</f>
        <v>0</v>
      </c>
      <c r="BC25" s="536">
        <f>IF(BB25&gt;0,SQRT(($Y25*$Y25)+(BA25*BA25)),0)</f>
        <v>0</v>
      </c>
      <c r="BD25" s="538">
        <f t="shared" ref="BD25:BD28" si="63">(BB25*BC25)^2</f>
        <v>0</v>
      </c>
      <c r="BE25" s="223">
        <v>0</v>
      </c>
      <c r="BF25" s="221">
        <v>0</v>
      </c>
      <c r="BG25" s="537">
        <v>0</v>
      </c>
      <c r="BH25" s="536">
        <v>0</v>
      </c>
      <c r="BI25" s="540">
        <f t="shared" ref="BI25:BI26" si="64">($S25*BE25)/1000</f>
        <v>0</v>
      </c>
      <c r="BJ25" s="536">
        <f>IF(BI25&gt;0,SQRT(($Y25*$Y25)+(BH25*BH25)),0)</f>
        <v>0</v>
      </c>
      <c r="BK25" s="538">
        <f t="shared" si="46"/>
        <v>0</v>
      </c>
      <c r="BL25" s="223">
        <v>0</v>
      </c>
      <c r="BM25" s="221">
        <v>0</v>
      </c>
      <c r="BN25" s="537">
        <v>0</v>
      </c>
      <c r="BO25" s="536">
        <v>0</v>
      </c>
      <c r="BP25" s="540">
        <f t="shared" ref="BP25:BP26" si="65">($S25*BL25)/1000</f>
        <v>0</v>
      </c>
      <c r="BQ25" s="540">
        <f>BP25*$CE$404</f>
        <v>0</v>
      </c>
      <c r="BR25" s="536">
        <f>IF(BP25&gt;0,SQRT(($Y25*$Y25)+(BO25*BO25)),0)</f>
        <v>0</v>
      </c>
      <c r="BS25" s="538">
        <f t="shared" ref="BS25:BS28" si="66">(BQ25*BR25)^2</f>
        <v>0</v>
      </c>
      <c r="BT25" s="223">
        <v>0</v>
      </c>
      <c r="BU25" s="221">
        <v>0</v>
      </c>
      <c r="BV25" s="537">
        <v>0</v>
      </c>
      <c r="BW25" s="536">
        <v>0</v>
      </c>
      <c r="BX25" s="540">
        <v>0</v>
      </c>
      <c r="BY25" s="536">
        <v>0</v>
      </c>
      <c r="BZ25" s="538">
        <f t="shared" si="37"/>
        <v>0</v>
      </c>
      <c r="CA25" s="217">
        <f>IF(C25="EmisionesGEI",D25,AE25+AM25+AU25+BB25+BQ25)</f>
        <v>0</v>
      </c>
      <c r="CB25" s="541">
        <f>IF(CA25&gt;0,SQRT(AG25+AO25+AW25+BD25+BS25)/CA25,0)</f>
        <v>0</v>
      </c>
      <c r="CC25" s="38">
        <f t="shared" si="50"/>
        <v>0</v>
      </c>
    </row>
    <row r="26" spans="1:81">
      <c r="B26" s="750"/>
      <c r="C26" s="217" t="s">
        <v>84</v>
      </c>
      <c r="D26" s="461"/>
      <c r="E26" s="240"/>
      <c r="F26" s="216">
        <f>VLOOKUP($E26,$CD$114:$DH$479,2,FALSE)</f>
        <v>0</v>
      </c>
      <c r="G26" s="214"/>
      <c r="H26" s="214"/>
      <c r="I26" s="214"/>
      <c r="J26" s="214"/>
      <c r="K26" s="214"/>
      <c r="L26" s="214"/>
      <c r="M26" s="214"/>
      <c r="N26" s="214"/>
      <c r="O26" s="214"/>
      <c r="P26" s="214"/>
      <c r="Q26" s="214"/>
      <c r="R26" s="214"/>
      <c r="S26" s="217">
        <f t="shared" si="53"/>
        <v>0</v>
      </c>
      <c r="T26" s="218">
        <f t="shared" si="54"/>
        <v>0</v>
      </c>
      <c r="U26" s="217">
        <f t="shared" si="55"/>
        <v>0</v>
      </c>
      <c r="V26" s="217">
        <f t="shared" si="56"/>
        <v>0</v>
      </c>
      <c r="W26" s="217">
        <f>IF(T26&gt;1,VLOOKUP($T26,$CD$383:$CE$395,2,FALSE),0)</f>
        <v>0</v>
      </c>
      <c r="X26" s="219"/>
      <c r="Y26" s="536">
        <f>IF(X26&gt;0,X26,IF(T26&gt;1,1-((U26-((V26*W26)/(SQRT(T26))))/U26),VLOOKUP($E26,$CD$114:$DK$479,34,FALSE)))</f>
        <v>0.05</v>
      </c>
      <c r="Z26" s="220">
        <v>0</v>
      </c>
      <c r="AA26" s="221">
        <v>0</v>
      </c>
      <c r="AB26" s="537">
        <v>0</v>
      </c>
      <c r="AC26" s="536">
        <v>0</v>
      </c>
      <c r="AD26" s="538">
        <f t="shared" si="57"/>
        <v>0</v>
      </c>
      <c r="AE26" s="538">
        <f>AD26*$CE$401</f>
        <v>0</v>
      </c>
      <c r="AF26" s="536">
        <f>IF(AD26&gt;0,SQRT(($Y26*$Y26)+(AC26*AC26)),0)</f>
        <v>0</v>
      </c>
      <c r="AG26" s="538">
        <f t="shared" si="58"/>
        <v>0</v>
      </c>
      <c r="AH26" s="225">
        <v>0</v>
      </c>
      <c r="AI26" s="221">
        <v>0</v>
      </c>
      <c r="AJ26" s="537">
        <v>0</v>
      </c>
      <c r="AK26" s="536">
        <v>0</v>
      </c>
      <c r="AL26" s="540">
        <f t="shared" si="59"/>
        <v>0</v>
      </c>
      <c r="AM26" s="540">
        <f>AL26*$CE$402</f>
        <v>0</v>
      </c>
      <c r="AN26" s="536">
        <f>IF(AL26&gt;0,SQRT(($Y26*$Y26)+(AK26*AK26)),0)</f>
        <v>0</v>
      </c>
      <c r="AO26" s="538">
        <f t="shared" si="60"/>
        <v>0</v>
      </c>
      <c r="AP26" s="225">
        <v>0</v>
      </c>
      <c r="AQ26" s="221">
        <v>0</v>
      </c>
      <c r="AR26" s="537">
        <v>0</v>
      </c>
      <c r="AS26" s="536">
        <v>0</v>
      </c>
      <c r="AT26" s="540">
        <f>($S26*AP26)/1000</f>
        <v>0</v>
      </c>
      <c r="AU26" s="540">
        <f>AT26*$CE$403</f>
        <v>0</v>
      </c>
      <c r="AV26" s="536">
        <f>IF(AT26&gt;0,SQRT(($Y26*$Y26)+(AS26*AS26)),0)</f>
        <v>0</v>
      </c>
      <c r="AW26" s="538">
        <f t="shared" si="61"/>
        <v>0</v>
      </c>
      <c r="AX26" s="223">
        <f>VLOOKUP($E26,$CD$114:$DH$479,3,FALSE)</f>
        <v>0</v>
      </c>
      <c r="AY26" s="221">
        <f>VLOOKUP($E26,$CD$114:$DH$479,4,FALSE)</f>
        <v>0</v>
      </c>
      <c r="AZ26" s="537">
        <f>IF($S26&gt;0,VLOOKUP($E26,$CD$114:$DH$479,7,FALSE),0)</f>
        <v>0</v>
      </c>
      <c r="BA26" s="536">
        <f>IF($S26&gt;0,VLOOKUP($E26,$CD$114:$DH$479,6,FALSE),0)</f>
        <v>0</v>
      </c>
      <c r="BB26" s="540">
        <f t="shared" si="62"/>
        <v>0</v>
      </c>
      <c r="BC26" s="536">
        <f>IF(BB26&gt;0,SQRT(($Y26*$Y26)+(BA26*BA26)),0)</f>
        <v>0</v>
      </c>
      <c r="BD26" s="538">
        <f t="shared" si="63"/>
        <v>0</v>
      </c>
      <c r="BE26" s="223">
        <v>0</v>
      </c>
      <c r="BF26" s="221">
        <f>VLOOKUP($E26,$CD$114:$DH$479,4,FALSE)</f>
        <v>0</v>
      </c>
      <c r="BG26" s="537">
        <f>IF($S26&gt;0,VLOOKUP($E26,$CD$114:$DH$479,7,FALSE),0)</f>
        <v>0</v>
      </c>
      <c r="BH26" s="536">
        <f>IF($S26&gt;0,VLOOKUP($E26,$CD$114:$DH$479,6,FALSE),0)</f>
        <v>0</v>
      </c>
      <c r="BI26" s="540">
        <f t="shared" si="64"/>
        <v>0</v>
      </c>
      <c r="BJ26" s="536">
        <f>IF(BI26&gt;0,SQRT(($Y26*$Y26)+(BH26*BH26)),0)</f>
        <v>0</v>
      </c>
      <c r="BK26" s="538">
        <f t="shared" si="46"/>
        <v>0</v>
      </c>
      <c r="BL26" s="223">
        <v>0</v>
      </c>
      <c r="BM26" s="221">
        <v>0</v>
      </c>
      <c r="BN26" s="537">
        <v>0</v>
      </c>
      <c r="BO26" s="536">
        <v>0</v>
      </c>
      <c r="BP26" s="540">
        <f t="shared" si="65"/>
        <v>0</v>
      </c>
      <c r="BQ26" s="540">
        <f>BP26*$CE$404</f>
        <v>0</v>
      </c>
      <c r="BR26" s="536">
        <f>IF(BP26&gt;0,SQRT(($Y26*$Y26)+(BO26*BO26)),0)</f>
        <v>0</v>
      </c>
      <c r="BS26" s="538">
        <f t="shared" si="66"/>
        <v>0</v>
      </c>
      <c r="BT26" s="223">
        <v>0</v>
      </c>
      <c r="BU26" s="221">
        <v>0</v>
      </c>
      <c r="BV26" s="537">
        <v>0</v>
      </c>
      <c r="BW26" s="536">
        <v>0</v>
      </c>
      <c r="BX26" s="540">
        <v>0</v>
      </c>
      <c r="BY26" s="536">
        <v>0</v>
      </c>
      <c r="BZ26" s="538">
        <f t="shared" si="37"/>
        <v>0</v>
      </c>
      <c r="CA26" s="217">
        <f>IF(C26="EmisionesGEI",D26,AE26+AM26+AU26+BB26+BQ26)</f>
        <v>0</v>
      </c>
      <c r="CB26" s="541">
        <f>IF(CA26&gt;0,SQRT(AG26+AO26+AW26+BD26+BS26)/CA26,0)</f>
        <v>0</v>
      </c>
      <c r="CC26" s="38">
        <f t="shared" si="50"/>
        <v>0</v>
      </c>
    </row>
    <row r="27" spans="1:81">
      <c r="B27" s="227" t="s">
        <v>89</v>
      </c>
      <c r="C27" s="241"/>
      <c r="D27" s="241"/>
      <c r="E27" s="228"/>
      <c r="F27" s="228"/>
      <c r="G27" s="229"/>
      <c r="H27" s="229"/>
      <c r="I27" s="229"/>
      <c r="J27" s="229"/>
      <c r="K27" s="229"/>
      <c r="L27" s="229"/>
      <c r="M27" s="229"/>
      <c r="N27" s="229"/>
      <c r="O27" s="229"/>
      <c r="P27" s="229"/>
      <c r="Q27" s="229"/>
      <c r="R27" s="229"/>
      <c r="S27" s="228"/>
      <c r="T27" s="228"/>
      <c r="U27" s="228"/>
      <c r="V27" s="228"/>
      <c r="W27" s="228"/>
      <c r="X27" s="230"/>
      <c r="Y27" s="228"/>
      <c r="Z27" s="228"/>
      <c r="AA27" s="228"/>
      <c r="AB27" s="232"/>
      <c r="AC27" s="228"/>
      <c r="AD27" s="233"/>
      <c r="AE27" s="234">
        <f>SUM(AE25:AE26)</f>
        <v>0</v>
      </c>
      <c r="AF27" s="534">
        <f>IF(AE27&gt;0,SQRT(SUM(AG25:AG26))/AE27,0)</f>
        <v>0</v>
      </c>
      <c r="AG27" s="234">
        <f t="shared" si="58"/>
        <v>0</v>
      </c>
      <c r="AH27" s="235"/>
      <c r="AI27" s="228"/>
      <c r="AJ27" s="236"/>
      <c r="AK27" s="228"/>
      <c r="AL27" s="237"/>
      <c r="AM27" s="234">
        <f>SUM(AM25:AM26)</f>
        <v>0</v>
      </c>
      <c r="AN27" s="534">
        <f>IF(AM27&gt;0,SQRT(SUM(AO25:AO26))/AM27,0)</f>
        <v>0</v>
      </c>
      <c r="AO27" s="234">
        <f t="shared" si="60"/>
        <v>0</v>
      </c>
      <c r="AP27" s="228"/>
      <c r="AQ27" s="228"/>
      <c r="AR27" s="236"/>
      <c r="AS27" s="228"/>
      <c r="AT27" s="228"/>
      <c r="AU27" s="234">
        <f>SUM(AU25:AU26)</f>
        <v>0</v>
      </c>
      <c r="AV27" s="534">
        <f>IF(AU27&gt;0,SQRT(SUM(AW25:AW26))/AU27,0)</f>
        <v>0</v>
      </c>
      <c r="AW27" s="234">
        <f t="shared" si="61"/>
        <v>0</v>
      </c>
      <c r="AX27" s="228"/>
      <c r="AY27" s="228"/>
      <c r="AZ27" s="236"/>
      <c r="BA27" s="228"/>
      <c r="BB27" s="234">
        <f>SUM(BB25:BB26)</f>
        <v>0</v>
      </c>
      <c r="BC27" s="534">
        <f>IF(BB27&gt;0,SQRT(SUM(BD25:BD26))/BB27,0)</f>
        <v>0</v>
      </c>
      <c r="BD27" s="234">
        <f t="shared" si="63"/>
        <v>0</v>
      </c>
      <c r="BE27" s="228"/>
      <c r="BF27" s="228"/>
      <c r="BG27" s="236"/>
      <c r="BH27" s="228"/>
      <c r="BI27" s="234">
        <f>SUM(BI25:BI26)</f>
        <v>0</v>
      </c>
      <c r="BJ27" s="534">
        <f>IF(BI27&gt;0,SQRT(SUM(BK25:BK26))/BI27,0)</f>
        <v>0</v>
      </c>
      <c r="BK27" s="234">
        <f t="shared" si="46"/>
        <v>0</v>
      </c>
      <c r="BL27" s="228"/>
      <c r="BM27" s="228"/>
      <c r="BN27" s="232"/>
      <c r="BO27" s="238"/>
      <c r="BP27" s="239"/>
      <c r="BQ27" s="234">
        <f>SUM(BQ25:BQ26)</f>
        <v>0</v>
      </c>
      <c r="BR27" s="534">
        <f>IF(BQ27&gt;0,SQRT(SUM(BS25:BS26))/BQ27,0)</f>
        <v>0</v>
      </c>
      <c r="BS27" s="234">
        <f t="shared" si="66"/>
        <v>0</v>
      </c>
      <c r="BT27" s="228"/>
      <c r="BU27" s="228"/>
      <c r="BV27" s="232"/>
      <c r="BW27" s="238"/>
      <c r="BX27" s="234">
        <f>SUM(BX25:BX26)</f>
        <v>0</v>
      </c>
      <c r="BY27" s="534">
        <f>IF(BX27&gt;0,SQRT(SUM(BZ25:BZ26))/BX27,0)</f>
        <v>0</v>
      </c>
      <c r="BZ27" s="234">
        <f t="shared" si="37"/>
        <v>0</v>
      </c>
      <c r="CA27" s="234">
        <f>SUM(CA25:CA26)</f>
        <v>0</v>
      </c>
      <c r="CB27" s="535">
        <f>IF(CA27&gt;0,SQRT(SUM(CC25:CC26))/CA27,0)</f>
        <v>0</v>
      </c>
      <c r="CC27" s="38">
        <f t="shared" si="50"/>
        <v>0</v>
      </c>
    </row>
    <row r="28" spans="1:81" ht="15.4">
      <c r="B28" s="242" t="s">
        <v>90</v>
      </c>
      <c r="C28" s="243"/>
      <c r="D28" s="243"/>
      <c r="E28" s="244"/>
      <c r="F28" s="244"/>
      <c r="G28" s="245"/>
      <c r="H28" s="245"/>
      <c r="I28" s="245"/>
      <c r="J28" s="245"/>
      <c r="K28" s="245"/>
      <c r="L28" s="245"/>
      <c r="M28" s="245"/>
      <c r="N28" s="245"/>
      <c r="O28" s="245"/>
      <c r="P28" s="245"/>
      <c r="Q28" s="245"/>
      <c r="R28" s="245"/>
      <c r="S28" s="244"/>
      <c r="T28" s="244"/>
      <c r="U28" s="244"/>
      <c r="V28" s="244"/>
      <c r="W28" s="244"/>
      <c r="X28" s="246"/>
      <c r="Y28" s="244"/>
      <c r="Z28" s="244"/>
      <c r="AA28" s="244"/>
      <c r="AB28" s="247"/>
      <c r="AC28" s="244"/>
      <c r="AD28" s="248"/>
      <c r="AE28" s="249">
        <f>+AE24+AE27</f>
        <v>0</v>
      </c>
      <c r="AF28" s="250">
        <f>IF(AE28&gt;0,(SQRT(AG24+AG27))/AE28,0)</f>
        <v>0</v>
      </c>
      <c r="AG28" s="249">
        <f t="shared" si="58"/>
        <v>0</v>
      </c>
      <c r="AH28" s="251"/>
      <c r="AI28" s="244"/>
      <c r="AJ28" s="252"/>
      <c r="AK28" s="244"/>
      <c r="AL28" s="253"/>
      <c r="AM28" s="249">
        <f>+AM24+AM27</f>
        <v>0</v>
      </c>
      <c r="AN28" s="250">
        <f>IF(AM28&gt;0,(SQRT(AO24+AO27))/AM28,0)</f>
        <v>0</v>
      </c>
      <c r="AO28" s="249">
        <f t="shared" si="60"/>
        <v>0</v>
      </c>
      <c r="AP28" s="244"/>
      <c r="AQ28" s="244"/>
      <c r="AR28" s="252"/>
      <c r="AS28" s="244"/>
      <c r="AT28" s="244"/>
      <c r="AU28" s="249">
        <f>+AU24+AU27</f>
        <v>0</v>
      </c>
      <c r="AV28" s="250">
        <f>IF(AU28&gt;0,(SQRT(AW24+AW27))/AU28,0)</f>
        <v>0</v>
      </c>
      <c r="AW28" s="249">
        <f t="shared" si="61"/>
        <v>0</v>
      </c>
      <c r="AX28" s="244"/>
      <c r="AY28" s="244"/>
      <c r="AZ28" s="252"/>
      <c r="BA28" s="244"/>
      <c r="BB28" s="249">
        <f>+BB24+BB27</f>
        <v>0</v>
      </c>
      <c r="BC28" s="250">
        <f>IF(BB28&gt;0,(SQRT(BD24+BD27))/BB28,0)</f>
        <v>0</v>
      </c>
      <c r="BD28" s="249">
        <f t="shared" si="63"/>
        <v>0</v>
      </c>
      <c r="BE28" s="244"/>
      <c r="BF28" s="244"/>
      <c r="BG28" s="252"/>
      <c r="BH28" s="244"/>
      <c r="BI28" s="249">
        <f>+BI24+BI27</f>
        <v>0</v>
      </c>
      <c r="BJ28" s="250">
        <f>IF(BI28&gt;0,(SQRT(BK24+BK27))/BI28,0)</f>
        <v>0</v>
      </c>
      <c r="BK28" s="249">
        <f t="shared" si="46"/>
        <v>0</v>
      </c>
      <c r="BL28" s="244"/>
      <c r="BM28" s="244"/>
      <c r="BN28" s="247"/>
      <c r="BO28" s="254"/>
      <c r="BP28" s="255"/>
      <c r="BQ28" s="249">
        <f>+BQ24+BQ27</f>
        <v>0</v>
      </c>
      <c r="BR28" s="250">
        <f>IF(BQ28&gt;0,(SQRT(BS24+BS27))/BQ28,0)</f>
        <v>0</v>
      </c>
      <c r="BS28" s="249">
        <f t="shared" si="66"/>
        <v>0</v>
      </c>
      <c r="BT28" s="244"/>
      <c r="BU28" s="244"/>
      <c r="BV28" s="247"/>
      <c r="BW28" s="254"/>
      <c r="BX28" s="249">
        <f>+BX24+BX27</f>
        <v>0</v>
      </c>
      <c r="BY28" s="250">
        <f>IF(BX28&gt;0,(SQRT(BZ24+BZ27))/BX28,0)</f>
        <v>0</v>
      </c>
      <c r="BZ28" s="249">
        <f t="shared" si="37"/>
        <v>0</v>
      </c>
      <c r="CA28" s="249">
        <f>+CA24+CA27</f>
        <v>0</v>
      </c>
      <c r="CB28" s="256">
        <f>IF(CA28&gt;0,(SQRT(CC24+CC27))/CA28,0)</f>
        <v>0</v>
      </c>
      <c r="CC28" s="38">
        <f t="shared" si="50"/>
        <v>0</v>
      </c>
    </row>
    <row r="29" spans="1:81" s="20" customFormat="1" ht="15.4">
      <c r="B29" s="257"/>
      <c r="C29" s="258"/>
      <c r="D29" s="258"/>
      <c r="E29" s="259"/>
      <c r="F29" s="259"/>
      <c r="G29" s="259"/>
      <c r="H29" s="259"/>
      <c r="I29" s="259"/>
      <c r="J29" s="259"/>
      <c r="K29" s="259"/>
      <c r="L29" s="259"/>
      <c r="M29" s="259"/>
      <c r="N29" s="259"/>
      <c r="O29" s="259"/>
      <c r="P29" s="259"/>
      <c r="Q29" s="259"/>
      <c r="R29" s="259"/>
      <c r="S29" s="259"/>
      <c r="T29" s="259"/>
      <c r="U29" s="259"/>
      <c r="V29" s="259"/>
      <c r="W29" s="259"/>
      <c r="X29" s="260"/>
      <c r="Y29" s="259"/>
      <c r="Z29" s="259"/>
      <c r="AA29" s="259"/>
      <c r="AB29" s="261"/>
      <c r="AC29" s="259"/>
      <c r="AD29" s="262"/>
      <c r="AE29" s="263"/>
      <c r="AF29" s="264"/>
      <c r="AG29" s="263"/>
      <c r="AH29" s="265"/>
      <c r="AI29" s="259"/>
      <c r="AJ29" s="266"/>
      <c r="AK29" s="259"/>
      <c r="AL29" s="267"/>
      <c r="AM29" s="263"/>
      <c r="AN29" s="264"/>
      <c r="AO29" s="263"/>
      <c r="AP29" s="259"/>
      <c r="AQ29" s="259"/>
      <c r="AR29" s="266"/>
      <c r="AS29" s="259"/>
      <c r="AT29" s="259"/>
      <c r="AU29" s="263"/>
      <c r="AV29" s="264"/>
      <c r="AW29" s="263"/>
      <c r="AX29" s="259"/>
      <c r="AY29" s="259"/>
      <c r="AZ29" s="266"/>
      <c r="BA29" s="259"/>
      <c r="BB29" s="263"/>
      <c r="BC29" s="264"/>
      <c r="BD29" s="263"/>
      <c r="BE29" s="259"/>
      <c r="BF29" s="259"/>
      <c r="BG29" s="266"/>
      <c r="BH29" s="259"/>
      <c r="BI29" s="263"/>
      <c r="BJ29" s="264"/>
      <c r="BK29" s="263"/>
      <c r="BL29" s="259"/>
      <c r="BM29" s="259"/>
      <c r="BN29" s="261"/>
      <c r="BO29" s="268"/>
      <c r="BP29" s="269"/>
      <c r="BQ29" s="263"/>
      <c r="BR29" s="264"/>
      <c r="BS29" s="263"/>
      <c r="BT29" s="259"/>
      <c r="BU29" s="259"/>
      <c r="BV29" s="261"/>
      <c r="BW29" s="268"/>
      <c r="BX29" s="263"/>
      <c r="BY29" s="264"/>
      <c r="BZ29" s="263"/>
      <c r="CA29" s="263"/>
      <c r="CB29" s="270"/>
      <c r="CC29" s="38"/>
    </row>
    <row r="30" spans="1:81" s="29" customFormat="1" ht="21.75" customHeight="1">
      <c r="A30" s="20"/>
      <c r="B30" s="753" t="s">
        <v>91</v>
      </c>
      <c r="C30" s="754"/>
      <c r="D30" s="754"/>
      <c r="E30" s="754"/>
      <c r="F30" s="754"/>
      <c r="G30" s="754"/>
      <c r="H30" s="754"/>
      <c r="I30" s="754"/>
      <c r="J30" s="754"/>
      <c r="K30" s="754"/>
      <c r="L30" s="754"/>
      <c r="M30" s="754"/>
      <c r="N30" s="754"/>
      <c r="O30" s="754"/>
      <c r="P30" s="754"/>
      <c r="Q30" s="754"/>
      <c r="R30" s="754"/>
      <c r="S30" s="754"/>
      <c r="T30" s="754"/>
      <c r="U30" s="754"/>
      <c r="V30" s="754"/>
      <c r="W30" s="754"/>
      <c r="X30" s="754"/>
      <c r="Y30" s="754"/>
      <c r="Z30" s="754"/>
      <c r="AA30" s="754"/>
      <c r="AB30" s="754"/>
      <c r="AC30" s="754"/>
      <c r="AD30" s="754"/>
      <c r="AE30" s="754"/>
      <c r="AF30" s="754"/>
      <c r="AG30" s="754"/>
      <c r="AH30" s="754"/>
      <c r="AI30" s="754"/>
      <c r="AJ30" s="754"/>
      <c r="AK30" s="754"/>
      <c r="AL30" s="754"/>
      <c r="AM30" s="754"/>
      <c r="AN30" s="754"/>
      <c r="AO30" s="754"/>
      <c r="AP30" s="754"/>
      <c r="AQ30" s="754"/>
      <c r="AR30" s="754"/>
      <c r="AS30" s="754"/>
      <c r="AT30" s="754"/>
      <c r="AU30" s="754"/>
      <c r="AV30" s="754"/>
      <c r="AW30" s="754"/>
      <c r="AX30" s="754"/>
      <c r="AY30" s="754"/>
      <c r="AZ30" s="754"/>
      <c r="BA30" s="754"/>
      <c r="BB30" s="754"/>
      <c r="BC30" s="754"/>
      <c r="BD30" s="754"/>
      <c r="BE30" s="754"/>
      <c r="BF30" s="754"/>
      <c r="BG30" s="754"/>
      <c r="BH30" s="754"/>
      <c r="BI30" s="754"/>
      <c r="BJ30" s="754"/>
      <c r="BK30" s="754"/>
      <c r="BL30" s="754"/>
      <c r="BM30" s="754"/>
      <c r="BN30" s="754"/>
      <c r="BO30" s="754"/>
      <c r="BP30" s="754"/>
      <c r="BQ30" s="754"/>
      <c r="BR30" s="754"/>
      <c r="BS30" s="754"/>
      <c r="BT30" s="754"/>
      <c r="BU30" s="754"/>
      <c r="BV30" s="754"/>
      <c r="BW30" s="754"/>
      <c r="BX30" s="754"/>
      <c r="BY30" s="754"/>
      <c r="BZ30" s="754"/>
      <c r="CA30" s="754"/>
      <c r="CB30" s="755"/>
      <c r="CC30" s="38"/>
    </row>
    <row r="31" spans="1:81" s="29" customFormat="1" ht="49.5" customHeight="1">
      <c r="A31" s="20"/>
      <c r="B31" s="747" t="s">
        <v>15</v>
      </c>
      <c r="C31" s="762" t="s">
        <v>16</v>
      </c>
      <c r="D31" s="762" t="s">
        <v>17</v>
      </c>
      <c r="E31" s="760" t="s">
        <v>18</v>
      </c>
      <c r="F31" s="760" t="s">
        <v>19</v>
      </c>
      <c r="G31" s="760"/>
      <c r="H31" s="760"/>
      <c r="I31" s="760"/>
      <c r="J31" s="760"/>
      <c r="K31" s="760"/>
      <c r="L31" s="760"/>
      <c r="M31" s="760"/>
      <c r="N31" s="760"/>
      <c r="O31" s="760"/>
      <c r="P31" s="760"/>
      <c r="Q31" s="760"/>
      <c r="R31" s="760"/>
      <c r="S31" s="760"/>
      <c r="T31" s="760"/>
      <c r="U31" s="760" t="s">
        <v>20</v>
      </c>
      <c r="V31" s="760"/>
      <c r="W31" s="760"/>
      <c r="X31" s="760"/>
      <c r="Y31" s="760"/>
      <c r="Z31" s="761" t="s">
        <v>21</v>
      </c>
      <c r="AA31" s="761"/>
      <c r="AB31" s="761"/>
      <c r="AC31" s="761"/>
      <c r="AD31" s="761"/>
      <c r="AE31" s="761"/>
      <c r="AF31" s="761"/>
      <c r="AG31" s="761"/>
      <c r="AH31" s="761" t="s">
        <v>22</v>
      </c>
      <c r="AI31" s="761"/>
      <c r="AJ31" s="761"/>
      <c r="AK31" s="761"/>
      <c r="AL31" s="761"/>
      <c r="AM31" s="761"/>
      <c r="AN31" s="761"/>
      <c r="AO31" s="761"/>
      <c r="AP31" s="761" t="s">
        <v>23</v>
      </c>
      <c r="AQ31" s="761"/>
      <c r="AR31" s="761"/>
      <c r="AS31" s="761"/>
      <c r="AT31" s="761"/>
      <c r="AU31" s="761"/>
      <c r="AV31" s="761"/>
      <c r="AW31" s="761"/>
      <c r="AX31" s="761" t="s">
        <v>24</v>
      </c>
      <c r="AY31" s="761"/>
      <c r="AZ31" s="761"/>
      <c r="BA31" s="761"/>
      <c r="BB31" s="761"/>
      <c r="BC31" s="761"/>
      <c r="BD31" s="761"/>
      <c r="BE31" s="761" t="s">
        <v>25</v>
      </c>
      <c r="BF31" s="761"/>
      <c r="BG31" s="761"/>
      <c r="BH31" s="761"/>
      <c r="BI31" s="761"/>
      <c r="BJ31" s="761"/>
      <c r="BK31" s="761"/>
      <c r="BL31" s="761" t="s">
        <v>26</v>
      </c>
      <c r="BM31" s="761"/>
      <c r="BN31" s="761"/>
      <c r="BO31" s="761"/>
      <c r="BP31" s="761"/>
      <c r="BQ31" s="761"/>
      <c r="BR31" s="761"/>
      <c r="BS31" s="761"/>
      <c r="BT31" s="761" t="s">
        <v>27</v>
      </c>
      <c r="BU31" s="761"/>
      <c r="BV31" s="761"/>
      <c r="BW31" s="761"/>
      <c r="BX31" s="761"/>
      <c r="BY31" s="761"/>
      <c r="BZ31" s="761"/>
      <c r="CA31" s="696" t="s">
        <v>28</v>
      </c>
      <c r="CB31" s="756" t="s">
        <v>29</v>
      </c>
      <c r="CC31" s="38"/>
    </row>
    <row r="32" spans="1:81" s="29" customFormat="1" ht="75" customHeight="1">
      <c r="A32" s="20"/>
      <c r="B32" s="748"/>
      <c r="C32" s="763"/>
      <c r="D32" s="763"/>
      <c r="E32" s="760"/>
      <c r="F32" s="207" t="s">
        <v>30</v>
      </c>
      <c r="G32" s="207" t="s">
        <v>31</v>
      </c>
      <c r="H32" s="207" t="s">
        <v>32</v>
      </c>
      <c r="I32" s="207" t="s">
        <v>33</v>
      </c>
      <c r="J32" s="207" t="s">
        <v>34</v>
      </c>
      <c r="K32" s="207" t="s">
        <v>35</v>
      </c>
      <c r="L32" s="207" t="s">
        <v>36</v>
      </c>
      <c r="M32" s="207" t="s">
        <v>37</v>
      </c>
      <c r="N32" s="207" t="s">
        <v>38</v>
      </c>
      <c r="O32" s="207" t="s">
        <v>39</v>
      </c>
      <c r="P32" s="207" t="s">
        <v>40</v>
      </c>
      <c r="Q32" s="207" t="s">
        <v>41</v>
      </c>
      <c r="R32" s="207" t="s">
        <v>42</v>
      </c>
      <c r="S32" s="207" t="s">
        <v>43</v>
      </c>
      <c r="T32" s="207" t="s">
        <v>44</v>
      </c>
      <c r="U32" s="207" t="s">
        <v>45</v>
      </c>
      <c r="V32" s="207" t="s">
        <v>46</v>
      </c>
      <c r="W32" s="207" t="s">
        <v>47</v>
      </c>
      <c r="X32" s="208" t="s">
        <v>48</v>
      </c>
      <c r="Y32" s="209" t="s">
        <v>20</v>
      </c>
      <c r="Z32" s="696" t="s">
        <v>49</v>
      </c>
      <c r="AA32" s="696"/>
      <c r="AB32" s="210" t="s">
        <v>50</v>
      </c>
      <c r="AC32" s="207" t="s">
        <v>51</v>
      </c>
      <c r="AD32" s="211" t="s">
        <v>52</v>
      </c>
      <c r="AE32" s="211" t="s">
        <v>52</v>
      </c>
      <c r="AF32" s="209" t="s">
        <v>53</v>
      </c>
      <c r="AG32" s="211" t="s">
        <v>54</v>
      </c>
      <c r="AH32" s="696" t="s">
        <v>55</v>
      </c>
      <c r="AI32" s="696"/>
      <c r="AJ32" s="210" t="s">
        <v>50</v>
      </c>
      <c r="AK32" s="209" t="s">
        <v>56</v>
      </c>
      <c r="AL32" s="212" t="s">
        <v>57</v>
      </c>
      <c r="AM32" s="212" t="s">
        <v>58</v>
      </c>
      <c r="AN32" s="209" t="s">
        <v>59</v>
      </c>
      <c r="AO32" s="211" t="s">
        <v>54</v>
      </c>
      <c r="AP32" s="696" t="s">
        <v>60</v>
      </c>
      <c r="AQ32" s="696"/>
      <c r="AR32" s="210" t="s">
        <v>50</v>
      </c>
      <c r="AS32" s="209" t="s">
        <v>61</v>
      </c>
      <c r="AT32" s="207" t="s">
        <v>62</v>
      </c>
      <c r="AU32" s="207" t="s">
        <v>63</v>
      </c>
      <c r="AV32" s="209" t="s">
        <v>64</v>
      </c>
      <c r="AW32" s="211" t="s">
        <v>54</v>
      </c>
      <c r="AX32" s="696" t="s">
        <v>65</v>
      </c>
      <c r="AY32" s="696"/>
      <c r="AZ32" s="210" t="s">
        <v>50</v>
      </c>
      <c r="BA32" s="209" t="s">
        <v>66</v>
      </c>
      <c r="BB32" s="211" t="s">
        <v>92</v>
      </c>
      <c r="BC32" s="209" t="s">
        <v>68</v>
      </c>
      <c r="BD32" s="211" t="s">
        <v>54</v>
      </c>
      <c r="BE32" s="696" t="s">
        <v>69</v>
      </c>
      <c r="BF32" s="696"/>
      <c r="BG32" s="210" t="s">
        <v>50</v>
      </c>
      <c r="BH32" s="209" t="s">
        <v>70</v>
      </c>
      <c r="BI32" s="211" t="s">
        <v>93</v>
      </c>
      <c r="BJ32" s="209" t="s">
        <v>72</v>
      </c>
      <c r="BK32" s="211" t="s">
        <v>54</v>
      </c>
      <c r="BL32" s="696" t="s">
        <v>73</v>
      </c>
      <c r="BM32" s="696"/>
      <c r="BN32" s="210" t="s">
        <v>50</v>
      </c>
      <c r="BO32" s="209" t="s">
        <v>74</v>
      </c>
      <c r="BP32" s="211" t="s">
        <v>94</v>
      </c>
      <c r="BQ32" s="211" t="s">
        <v>95</v>
      </c>
      <c r="BR32" s="209" t="s">
        <v>77</v>
      </c>
      <c r="BS32" s="211" t="s">
        <v>54</v>
      </c>
      <c r="BT32" s="696" t="s">
        <v>78</v>
      </c>
      <c r="BU32" s="696"/>
      <c r="BV32" s="210" t="s">
        <v>50</v>
      </c>
      <c r="BW32" s="209" t="s">
        <v>79</v>
      </c>
      <c r="BX32" s="211" t="s">
        <v>96</v>
      </c>
      <c r="BY32" s="209" t="s">
        <v>81</v>
      </c>
      <c r="BZ32" s="211" t="s">
        <v>54</v>
      </c>
      <c r="CA32" s="696"/>
      <c r="CB32" s="756"/>
      <c r="CC32" s="38" t="s">
        <v>82</v>
      </c>
    </row>
    <row r="33" spans="2:81" ht="15" customHeight="1">
      <c r="B33" s="213" t="s">
        <v>97</v>
      </c>
      <c r="C33" s="217" t="s">
        <v>84</v>
      </c>
      <c r="D33" s="461"/>
      <c r="E33" s="240"/>
      <c r="F33" s="216">
        <f t="shared" ref="F33:F43" si="67">VLOOKUP($E33,$CD$114:$DH$479,2,FALSE)</f>
        <v>0</v>
      </c>
      <c r="G33" s="214"/>
      <c r="H33" s="214"/>
      <c r="I33" s="214"/>
      <c r="J33" s="214"/>
      <c r="K33" s="214"/>
      <c r="L33" s="214"/>
      <c r="M33" s="214"/>
      <c r="N33" s="214"/>
      <c r="O33" s="214"/>
      <c r="P33" s="214"/>
      <c r="Q33" s="214"/>
      <c r="R33" s="214"/>
      <c r="S33" s="217">
        <f t="shared" ref="S33:S43" si="68">SUM(G33:R33)</f>
        <v>0</v>
      </c>
      <c r="T33" s="218">
        <f t="shared" ref="T33:T43" si="69">COUNT(G33:R33)</f>
        <v>0</v>
      </c>
      <c r="U33" s="217">
        <f t="shared" ref="U33:U43" si="70">IF(T33&gt;1,AVERAGE(G33:R33),0)</f>
        <v>0</v>
      </c>
      <c r="V33" s="217">
        <f t="shared" ref="V33:V43" si="71">IF(T33&gt;1,STDEV(G33:R33),0)</f>
        <v>0</v>
      </c>
      <c r="W33" s="217">
        <f t="shared" ref="W33:W43" si="72">IF(T33&gt;1,VLOOKUP($T33,$CD$383:$CE$395,2,FALSE),0)</f>
        <v>0</v>
      </c>
      <c r="X33" s="219"/>
      <c r="Y33" s="536">
        <f t="shared" ref="Y33:Y43" si="73">IF(X33&gt;0,X33,IF(T33&gt;1,1-((U33-((V33*W33)/(SQRT(T33))))/U33),VLOOKUP($E33,$CD$114:$DK$479,34,FALSE)))</f>
        <v>0.05</v>
      </c>
      <c r="Z33" s="220">
        <f t="shared" ref="Z33:Z43" si="74">VLOOKUP($E33,$CD$114:$DH$479,3,FALSE)</f>
        <v>0</v>
      </c>
      <c r="AA33" s="221">
        <f t="shared" ref="AA33:AA43" si="75">VLOOKUP($E33,$CD$114:$DH$479,4,FALSE)</f>
        <v>0</v>
      </c>
      <c r="AB33" s="537">
        <f t="shared" ref="AB33:AB43" si="76">IF($S33&gt;0,VLOOKUP($E33,$CD$114:$DH$479,7,FALSE),0)</f>
        <v>0</v>
      </c>
      <c r="AC33" s="536">
        <f t="shared" ref="AC33:AC43" si="77">IF($S33&gt;0,VLOOKUP($E33,$CD$114:$DH$479,6,FALSE),0)</f>
        <v>0</v>
      </c>
      <c r="AD33" s="538">
        <f t="shared" ref="AD33:AD43" si="78">($S33*Z33)/1000</f>
        <v>0</v>
      </c>
      <c r="AE33" s="538">
        <f t="shared" ref="AE33:AE43" si="79">AD33*$CE$401</f>
        <v>0</v>
      </c>
      <c r="AF33" s="536">
        <f t="shared" ref="AF33:AF43" si="80">IF(AD33&gt;0,SQRT(($Y33*$Y33)+(AC33*AC33)),0)</f>
        <v>0</v>
      </c>
      <c r="AG33" s="538">
        <f t="shared" ref="AG33:AG43" si="81">(AE33*AF33)^2</f>
        <v>0</v>
      </c>
      <c r="AH33" s="225">
        <f t="shared" ref="AH33:AH43" si="82">VLOOKUP($E33,$CD$114:$DH$479,9,FALSE)</f>
        <v>0</v>
      </c>
      <c r="AI33" s="221">
        <f t="shared" ref="AI33:AI43" si="83">VLOOKUP($E33,$CD$114:$DH$479,10,FALSE)</f>
        <v>0</v>
      </c>
      <c r="AJ33" s="537">
        <f t="shared" ref="AJ33:AJ43" si="84">IF($S33&gt;0,VLOOKUP($E33,$CD$114:$DH$479,13,FALSE),0)</f>
        <v>0</v>
      </c>
      <c r="AK33" s="536">
        <f t="shared" ref="AK33:AK43" si="85">IF($S33&gt;0,VLOOKUP($E33,$CD$114:$DH$479,12,FALSE),0)</f>
        <v>0</v>
      </c>
      <c r="AL33" s="540">
        <f t="shared" ref="AL33:AL43" si="86">($S33*AH33)/1000</f>
        <v>0</v>
      </c>
      <c r="AM33" s="540">
        <f t="shared" ref="AM33:AM43" si="87">AL33*$CE$402</f>
        <v>0</v>
      </c>
      <c r="AN33" s="536">
        <f t="shared" ref="AN33:AN43" si="88">IF(AL33&gt;0,SQRT(($Y33*$Y33)+(AK33*AK33)),0)</f>
        <v>0</v>
      </c>
      <c r="AO33" s="538">
        <f t="shared" ref="AO33:AO43" si="89">(AM33*AN33)^2</f>
        <v>0</v>
      </c>
      <c r="AP33" s="225">
        <f t="shared" ref="AP33:AP43" si="90">VLOOKUP($E33,$CD$114:$DH$479,15,FALSE)</f>
        <v>0</v>
      </c>
      <c r="AQ33" s="221">
        <f t="shared" ref="AQ33:AQ43" si="91">VLOOKUP($E33,$CD$114:$DH$479,16,FALSE)</f>
        <v>0</v>
      </c>
      <c r="AR33" s="537">
        <f t="shared" ref="AR33:AR43" si="92">IF($S33&gt;0,VLOOKUP($E33,$CD$114:$DH$479,19,FALSE),0)</f>
        <v>0</v>
      </c>
      <c r="AS33" s="536">
        <f t="shared" ref="AS33:AS43" si="93">IF($S33&gt;0,VLOOKUP($E33,$CD$114:$DH$479,18,FALSE),0)</f>
        <v>0</v>
      </c>
      <c r="AT33" s="540">
        <f t="shared" ref="AT33:AT43" si="94">($S33*AP33)/1000</f>
        <v>0</v>
      </c>
      <c r="AU33" s="540">
        <f t="shared" ref="AU33:AU43" si="95">AT33*$CE$403</f>
        <v>0</v>
      </c>
      <c r="AV33" s="536">
        <f t="shared" ref="AV33:AV43" si="96">IF(AT33&gt;0,SQRT(($Y33*$Y33)+(AS33*AS33)),0)</f>
        <v>0</v>
      </c>
      <c r="AW33" s="538">
        <f t="shared" ref="AW33:AW43" si="97">(AU33*AV33)^2</f>
        <v>0</v>
      </c>
      <c r="AX33" s="223">
        <v>0</v>
      </c>
      <c r="AY33" s="221">
        <v>0</v>
      </c>
      <c r="AZ33" s="537">
        <v>0</v>
      </c>
      <c r="BA33" s="536">
        <v>0</v>
      </c>
      <c r="BB33" s="540">
        <f t="shared" ref="BB33:BB43" si="98">($S33*AX33)/1000</f>
        <v>0</v>
      </c>
      <c r="BC33" s="536">
        <f t="shared" ref="BC33:BC43" si="99">IF(BB33&gt;0,SQRT(($Y33*$Y33)+(BA33*BA33)),0)</f>
        <v>0</v>
      </c>
      <c r="BD33" s="538">
        <f t="shared" ref="BD33:BD43" si="100">(BB33*BC33)^2</f>
        <v>0</v>
      </c>
      <c r="BE33" s="223">
        <v>0</v>
      </c>
      <c r="BF33" s="221">
        <v>0</v>
      </c>
      <c r="BG33" s="537">
        <v>0</v>
      </c>
      <c r="BH33" s="536">
        <v>0</v>
      </c>
      <c r="BI33" s="540">
        <f t="shared" ref="BI33:BI43" si="101">($S33*BE33)/1000</f>
        <v>0</v>
      </c>
      <c r="BJ33" s="536">
        <f t="shared" ref="BJ33:BJ43" si="102">IF(BI33&gt;0,SQRT(($Y33*$Y33)+(BH33*BH33)),0)</f>
        <v>0</v>
      </c>
      <c r="BK33" s="538">
        <f t="shared" ref="BK33:BK38" si="103">(BI33*BJ33)^2</f>
        <v>0</v>
      </c>
      <c r="BL33" s="223">
        <v>0</v>
      </c>
      <c r="BM33" s="221">
        <v>0</v>
      </c>
      <c r="BN33" s="537">
        <v>0</v>
      </c>
      <c r="BO33" s="536">
        <v>0</v>
      </c>
      <c r="BP33" s="540">
        <f t="shared" ref="BP33:BP43" si="104">($S33*BL33)/1000</f>
        <v>0</v>
      </c>
      <c r="BQ33" s="540">
        <f t="shared" ref="BQ33:BQ43" si="105">BP33*$CE$404</f>
        <v>0</v>
      </c>
      <c r="BR33" s="536">
        <f t="shared" ref="BR33:BR43" si="106">IF(BP33&gt;0,SQRT(($Y33*$Y33)+(BO33*BO33)),0)</f>
        <v>0</v>
      </c>
      <c r="BS33" s="538">
        <f t="shared" ref="BS33:BS43" si="107">(BQ33*BR33)^2</f>
        <v>0</v>
      </c>
      <c r="BT33" s="220">
        <f t="shared" ref="BT33:BT43" si="108">VLOOKUP($E33,$CD$114:$DI$479,32,FALSE)</f>
        <v>0</v>
      </c>
      <c r="BU33" s="221">
        <f t="shared" ref="BU33:BU43" si="109">VLOOKUP($E33,$CD$114:$DH$479,4,FALSE)</f>
        <v>0</v>
      </c>
      <c r="BV33" s="537">
        <f t="shared" ref="BV33:BV43" si="110">IF($S33&gt;0,VLOOKUP($E33,$CD$114:$DH$479,7,FALSE),0)</f>
        <v>0</v>
      </c>
      <c r="BW33" s="536">
        <f t="shared" ref="BW33:BW43" si="111">IF($S33&gt;0,VLOOKUP($E33,$CD$114:$DH$479,6,FALSE),0)</f>
        <v>0</v>
      </c>
      <c r="BX33" s="540">
        <f t="shared" ref="BX33:BX43" si="112">($S33*BT33)/1000</f>
        <v>0</v>
      </c>
      <c r="BY33" s="536">
        <f t="shared" ref="BY33:BY43" si="113">IF(BX33&gt;0,SQRT(($Y33*$Y33)+(BW33*BW33)),0)</f>
        <v>0</v>
      </c>
      <c r="BZ33" s="538">
        <f t="shared" ref="BZ33:BZ43" si="114">(BX33*BY33)^2</f>
        <v>0</v>
      </c>
      <c r="CA33" s="217">
        <f t="shared" ref="CA33:CA43" si="115">IF(C33="EmisionesGEI",D33,AE33+AM33+AU33+BB33+BQ33)</f>
        <v>0</v>
      </c>
      <c r="CB33" s="541">
        <f t="shared" ref="CB33:CB43" si="116">IF(CA33&gt;0,SQRT(AG33+AO33+AW33+BD33+BS33)/CA33,0)</f>
        <v>0</v>
      </c>
      <c r="CC33" s="38">
        <f t="shared" si="50"/>
        <v>0</v>
      </c>
    </row>
    <row r="34" spans="2:81">
      <c r="B34" s="224" t="s">
        <v>98</v>
      </c>
      <c r="C34" s="217" t="s">
        <v>84</v>
      </c>
      <c r="D34" s="461"/>
      <c r="E34" s="240"/>
      <c r="F34" s="216">
        <f t="shared" si="67"/>
        <v>0</v>
      </c>
      <c r="G34" s="214"/>
      <c r="H34" s="214"/>
      <c r="I34" s="214"/>
      <c r="J34" s="214"/>
      <c r="K34" s="214"/>
      <c r="L34" s="214"/>
      <c r="M34" s="214"/>
      <c r="N34" s="214"/>
      <c r="O34" s="214"/>
      <c r="P34" s="214"/>
      <c r="Q34" s="214"/>
      <c r="R34" s="214"/>
      <c r="S34" s="217">
        <f t="shared" si="68"/>
        <v>0</v>
      </c>
      <c r="T34" s="218">
        <f t="shared" si="69"/>
        <v>0</v>
      </c>
      <c r="U34" s="217">
        <f t="shared" si="70"/>
        <v>0</v>
      </c>
      <c r="V34" s="217">
        <f t="shared" si="71"/>
        <v>0</v>
      </c>
      <c r="W34" s="217">
        <f t="shared" si="72"/>
        <v>0</v>
      </c>
      <c r="X34" s="219"/>
      <c r="Y34" s="536">
        <f t="shared" si="73"/>
        <v>0.05</v>
      </c>
      <c r="Z34" s="220">
        <f t="shared" si="74"/>
        <v>0</v>
      </c>
      <c r="AA34" s="221">
        <f t="shared" si="75"/>
        <v>0</v>
      </c>
      <c r="AB34" s="537">
        <f t="shared" si="76"/>
        <v>0</v>
      </c>
      <c r="AC34" s="536">
        <f t="shared" si="77"/>
        <v>0</v>
      </c>
      <c r="AD34" s="538">
        <f t="shared" si="78"/>
        <v>0</v>
      </c>
      <c r="AE34" s="538">
        <f t="shared" si="79"/>
        <v>0</v>
      </c>
      <c r="AF34" s="536">
        <f t="shared" si="80"/>
        <v>0</v>
      </c>
      <c r="AG34" s="538">
        <f t="shared" si="81"/>
        <v>0</v>
      </c>
      <c r="AH34" s="225">
        <f t="shared" si="82"/>
        <v>0</v>
      </c>
      <c r="AI34" s="221">
        <f t="shared" si="83"/>
        <v>0</v>
      </c>
      <c r="AJ34" s="537">
        <f t="shared" si="84"/>
        <v>0</v>
      </c>
      <c r="AK34" s="536">
        <f t="shared" si="85"/>
        <v>0</v>
      </c>
      <c r="AL34" s="540">
        <f t="shared" si="86"/>
        <v>0</v>
      </c>
      <c r="AM34" s="540">
        <f t="shared" si="87"/>
        <v>0</v>
      </c>
      <c r="AN34" s="536">
        <f t="shared" si="88"/>
        <v>0</v>
      </c>
      <c r="AO34" s="538">
        <f t="shared" si="89"/>
        <v>0</v>
      </c>
      <c r="AP34" s="225">
        <f t="shared" si="90"/>
        <v>0</v>
      </c>
      <c r="AQ34" s="221">
        <f t="shared" si="91"/>
        <v>0</v>
      </c>
      <c r="AR34" s="537">
        <f t="shared" si="92"/>
        <v>0</v>
      </c>
      <c r="AS34" s="536">
        <f t="shared" si="93"/>
        <v>0</v>
      </c>
      <c r="AT34" s="540">
        <f t="shared" si="94"/>
        <v>0</v>
      </c>
      <c r="AU34" s="540">
        <f t="shared" si="95"/>
        <v>0</v>
      </c>
      <c r="AV34" s="536">
        <f t="shared" si="96"/>
        <v>0</v>
      </c>
      <c r="AW34" s="538">
        <f t="shared" si="97"/>
        <v>0</v>
      </c>
      <c r="AX34" s="223">
        <v>0</v>
      </c>
      <c r="AY34" s="221">
        <v>0</v>
      </c>
      <c r="AZ34" s="537">
        <v>0</v>
      </c>
      <c r="BA34" s="536">
        <v>0</v>
      </c>
      <c r="BB34" s="540">
        <f t="shared" si="98"/>
        <v>0</v>
      </c>
      <c r="BC34" s="536">
        <f t="shared" si="99"/>
        <v>0</v>
      </c>
      <c r="BD34" s="538">
        <f t="shared" si="100"/>
        <v>0</v>
      </c>
      <c r="BE34" s="223">
        <v>0</v>
      </c>
      <c r="BF34" s="221">
        <v>0</v>
      </c>
      <c r="BG34" s="537">
        <v>0</v>
      </c>
      <c r="BH34" s="536">
        <v>0</v>
      </c>
      <c r="BI34" s="540">
        <f t="shared" si="101"/>
        <v>0</v>
      </c>
      <c r="BJ34" s="536">
        <f t="shared" si="102"/>
        <v>0</v>
      </c>
      <c r="BK34" s="538">
        <f t="shared" si="103"/>
        <v>0</v>
      </c>
      <c r="BL34" s="223">
        <v>0</v>
      </c>
      <c r="BM34" s="221">
        <v>0</v>
      </c>
      <c r="BN34" s="537">
        <v>0</v>
      </c>
      <c r="BO34" s="536">
        <v>0</v>
      </c>
      <c r="BP34" s="540">
        <f t="shared" si="104"/>
        <v>0</v>
      </c>
      <c r="BQ34" s="540">
        <f t="shared" si="105"/>
        <v>0</v>
      </c>
      <c r="BR34" s="536">
        <f t="shared" si="106"/>
        <v>0</v>
      </c>
      <c r="BS34" s="538">
        <f t="shared" si="107"/>
        <v>0</v>
      </c>
      <c r="BT34" s="220">
        <f t="shared" si="108"/>
        <v>0</v>
      </c>
      <c r="BU34" s="221">
        <f t="shared" si="109"/>
        <v>0</v>
      </c>
      <c r="BV34" s="537">
        <f t="shared" si="110"/>
        <v>0</v>
      </c>
      <c r="BW34" s="536">
        <f t="shared" si="111"/>
        <v>0</v>
      </c>
      <c r="BX34" s="540">
        <f t="shared" si="112"/>
        <v>0</v>
      </c>
      <c r="BY34" s="536">
        <f t="shared" si="113"/>
        <v>0</v>
      </c>
      <c r="BZ34" s="538">
        <f t="shared" si="114"/>
        <v>0</v>
      </c>
      <c r="CA34" s="217">
        <f t="shared" si="115"/>
        <v>0</v>
      </c>
      <c r="CB34" s="541">
        <f t="shared" si="116"/>
        <v>0</v>
      </c>
      <c r="CC34" s="38">
        <f t="shared" si="50"/>
        <v>0</v>
      </c>
    </row>
    <row r="35" spans="2:81">
      <c r="B35" s="224"/>
      <c r="C35" s="217" t="s">
        <v>84</v>
      </c>
      <c r="D35" s="461"/>
      <c r="E35" s="240"/>
      <c r="F35" s="216">
        <f t="shared" si="67"/>
        <v>0</v>
      </c>
      <c r="G35" s="214"/>
      <c r="H35" s="214"/>
      <c r="I35" s="214"/>
      <c r="J35" s="214"/>
      <c r="K35" s="214"/>
      <c r="L35" s="214"/>
      <c r="M35" s="214"/>
      <c r="N35" s="214"/>
      <c r="O35" s="214"/>
      <c r="P35" s="214"/>
      <c r="Q35" s="214"/>
      <c r="R35" s="214"/>
      <c r="S35" s="217">
        <f t="shared" si="68"/>
        <v>0</v>
      </c>
      <c r="T35" s="218">
        <f t="shared" si="69"/>
        <v>0</v>
      </c>
      <c r="U35" s="217">
        <f t="shared" si="70"/>
        <v>0</v>
      </c>
      <c r="V35" s="217">
        <f t="shared" si="71"/>
        <v>0</v>
      </c>
      <c r="W35" s="217">
        <f t="shared" si="72"/>
        <v>0</v>
      </c>
      <c r="X35" s="219"/>
      <c r="Y35" s="536">
        <f t="shared" si="73"/>
        <v>0.05</v>
      </c>
      <c r="Z35" s="220">
        <f t="shared" si="74"/>
        <v>0</v>
      </c>
      <c r="AA35" s="221">
        <f t="shared" si="75"/>
        <v>0</v>
      </c>
      <c r="AB35" s="537">
        <f t="shared" si="76"/>
        <v>0</v>
      </c>
      <c r="AC35" s="536">
        <f t="shared" si="77"/>
        <v>0</v>
      </c>
      <c r="AD35" s="538">
        <f t="shared" si="78"/>
        <v>0</v>
      </c>
      <c r="AE35" s="538">
        <f t="shared" si="79"/>
        <v>0</v>
      </c>
      <c r="AF35" s="536">
        <f t="shared" si="80"/>
        <v>0</v>
      </c>
      <c r="AG35" s="538">
        <f t="shared" si="81"/>
        <v>0</v>
      </c>
      <c r="AH35" s="225">
        <f t="shared" si="82"/>
        <v>0</v>
      </c>
      <c r="AI35" s="221">
        <f t="shared" si="83"/>
        <v>0</v>
      </c>
      <c r="AJ35" s="537">
        <f t="shared" si="84"/>
        <v>0</v>
      </c>
      <c r="AK35" s="536">
        <f t="shared" si="85"/>
        <v>0</v>
      </c>
      <c r="AL35" s="540">
        <f t="shared" si="86"/>
        <v>0</v>
      </c>
      <c r="AM35" s="540">
        <f t="shared" si="87"/>
        <v>0</v>
      </c>
      <c r="AN35" s="536">
        <f t="shared" si="88"/>
        <v>0</v>
      </c>
      <c r="AO35" s="538">
        <f t="shared" si="89"/>
        <v>0</v>
      </c>
      <c r="AP35" s="225">
        <f t="shared" si="90"/>
        <v>0</v>
      </c>
      <c r="AQ35" s="221">
        <f t="shared" si="91"/>
        <v>0</v>
      </c>
      <c r="AR35" s="537">
        <f t="shared" si="92"/>
        <v>0</v>
      </c>
      <c r="AS35" s="536">
        <f t="shared" si="93"/>
        <v>0</v>
      </c>
      <c r="AT35" s="540">
        <f t="shared" si="94"/>
        <v>0</v>
      </c>
      <c r="AU35" s="540">
        <f t="shared" si="95"/>
        <v>0</v>
      </c>
      <c r="AV35" s="536">
        <f t="shared" si="96"/>
        <v>0</v>
      </c>
      <c r="AW35" s="538">
        <f t="shared" si="97"/>
        <v>0</v>
      </c>
      <c r="AX35" s="223">
        <v>0</v>
      </c>
      <c r="AY35" s="221">
        <v>0</v>
      </c>
      <c r="AZ35" s="537">
        <v>0</v>
      </c>
      <c r="BA35" s="536">
        <v>0</v>
      </c>
      <c r="BB35" s="540">
        <f t="shared" si="98"/>
        <v>0</v>
      </c>
      <c r="BC35" s="536">
        <f t="shared" si="99"/>
        <v>0</v>
      </c>
      <c r="BD35" s="538">
        <f t="shared" si="100"/>
        <v>0</v>
      </c>
      <c r="BE35" s="223">
        <v>0</v>
      </c>
      <c r="BF35" s="221">
        <v>0</v>
      </c>
      <c r="BG35" s="537">
        <v>0</v>
      </c>
      <c r="BH35" s="536">
        <v>0</v>
      </c>
      <c r="BI35" s="540">
        <f t="shared" si="101"/>
        <v>0</v>
      </c>
      <c r="BJ35" s="536">
        <f t="shared" si="102"/>
        <v>0</v>
      </c>
      <c r="BK35" s="538">
        <f t="shared" si="103"/>
        <v>0</v>
      </c>
      <c r="BL35" s="223">
        <v>0</v>
      </c>
      <c r="BM35" s="221">
        <v>0</v>
      </c>
      <c r="BN35" s="537">
        <v>0</v>
      </c>
      <c r="BO35" s="536">
        <v>0</v>
      </c>
      <c r="BP35" s="540">
        <f t="shared" si="104"/>
        <v>0</v>
      </c>
      <c r="BQ35" s="540">
        <f t="shared" si="105"/>
        <v>0</v>
      </c>
      <c r="BR35" s="536">
        <f t="shared" si="106"/>
        <v>0</v>
      </c>
      <c r="BS35" s="538">
        <f t="shared" si="107"/>
        <v>0</v>
      </c>
      <c r="BT35" s="220">
        <f t="shared" si="108"/>
        <v>0</v>
      </c>
      <c r="BU35" s="221">
        <f t="shared" si="109"/>
        <v>0</v>
      </c>
      <c r="BV35" s="537">
        <f t="shared" si="110"/>
        <v>0</v>
      </c>
      <c r="BW35" s="536">
        <f t="shared" si="111"/>
        <v>0</v>
      </c>
      <c r="BX35" s="540">
        <f t="shared" si="112"/>
        <v>0</v>
      </c>
      <c r="BY35" s="536">
        <f t="shared" si="113"/>
        <v>0</v>
      </c>
      <c r="BZ35" s="538">
        <f t="shared" si="114"/>
        <v>0</v>
      </c>
      <c r="CA35" s="217">
        <f t="shared" si="115"/>
        <v>0</v>
      </c>
      <c r="CB35" s="541">
        <f t="shared" si="116"/>
        <v>0</v>
      </c>
      <c r="CC35" s="38">
        <f t="shared" si="50"/>
        <v>0</v>
      </c>
    </row>
    <row r="36" spans="2:81">
      <c r="B36" s="226"/>
      <c r="C36" s="217" t="s">
        <v>84</v>
      </c>
      <c r="D36" s="461"/>
      <c r="E36" s="215"/>
      <c r="F36" s="216">
        <f t="shared" si="67"/>
        <v>0</v>
      </c>
      <c r="G36" s="214"/>
      <c r="H36" s="214"/>
      <c r="I36" s="214"/>
      <c r="J36" s="214"/>
      <c r="K36" s="214"/>
      <c r="L36" s="214"/>
      <c r="M36" s="214"/>
      <c r="N36" s="214"/>
      <c r="O36" s="214"/>
      <c r="P36" s="214"/>
      <c r="Q36" s="214"/>
      <c r="R36" s="214"/>
      <c r="S36" s="217">
        <f t="shared" si="68"/>
        <v>0</v>
      </c>
      <c r="T36" s="218">
        <f t="shared" si="69"/>
        <v>0</v>
      </c>
      <c r="U36" s="217">
        <f t="shared" si="70"/>
        <v>0</v>
      </c>
      <c r="V36" s="217">
        <f t="shared" si="71"/>
        <v>0</v>
      </c>
      <c r="W36" s="217">
        <f t="shared" si="72"/>
        <v>0</v>
      </c>
      <c r="X36" s="219"/>
      <c r="Y36" s="536">
        <f t="shared" si="73"/>
        <v>0.05</v>
      </c>
      <c r="Z36" s="220">
        <f t="shared" si="74"/>
        <v>0</v>
      </c>
      <c r="AA36" s="221">
        <f t="shared" si="75"/>
        <v>0</v>
      </c>
      <c r="AB36" s="537">
        <f t="shared" si="76"/>
        <v>0</v>
      </c>
      <c r="AC36" s="536">
        <f t="shared" si="77"/>
        <v>0</v>
      </c>
      <c r="AD36" s="538">
        <f t="shared" si="78"/>
        <v>0</v>
      </c>
      <c r="AE36" s="538">
        <f t="shared" si="79"/>
        <v>0</v>
      </c>
      <c r="AF36" s="536">
        <f t="shared" si="80"/>
        <v>0</v>
      </c>
      <c r="AG36" s="538">
        <f t="shared" si="81"/>
        <v>0</v>
      </c>
      <c r="AH36" s="225">
        <f t="shared" si="82"/>
        <v>0</v>
      </c>
      <c r="AI36" s="221">
        <f t="shared" si="83"/>
        <v>0</v>
      </c>
      <c r="AJ36" s="537">
        <f t="shared" si="84"/>
        <v>0</v>
      </c>
      <c r="AK36" s="536">
        <f t="shared" si="85"/>
        <v>0</v>
      </c>
      <c r="AL36" s="540">
        <f t="shared" si="86"/>
        <v>0</v>
      </c>
      <c r="AM36" s="540">
        <f t="shared" si="87"/>
        <v>0</v>
      </c>
      <c r="AN36" s="536">
        <f t="shared" si="88"/>
        <v>0</v>
      </c>
      <c r="AO36" s="538">
        <f t="shared" si="89"/>
        <v>0</v>
      </c>
      <c r="AP36" s="225">
        <f t="shared" si="90"/>
        <v>0</v>
      </c>
      <c r="AQ36" s="221">
        <f t="shared" si="91"/>
        <v>0</v>
      </c>
      <c r="AR36" s="537">
        <f t="shared" si="92"/>
        <v>0</v>
      </c>
      <c r="AS36" s="536">
        <f t="shared" si="93"/>
        <v>0</v>
      </c>
      <c r="AT36" s="540">
        <f t="shared" si="94"/>
        <v>0</v>
      </c>
      <c r="AU36" s="540">
        <f t="shared" si="95"/>
        <v>0</v>
      </c>
      <c r="AV36" s="536">
        <f t="shared" si="96"/>
        <v>0</v>
      </c>
      <c r="AW36" s="538">
        <f t="shared" si="97"/>
        <v>0</v>
      </c>
      <c r="AX36" s="223">
        <v>0</v>
      </c>
      <c r="AY36" s="221">
        <v>0</v>
      </c>
      <c r="AZ36" s="537">
        <v>0</v>
      </c>
      <c r="BA36" s="536">
        <v>0</v>
      </c>
      <c r="BB36" s="540">
        <f t="shared" si="98"/>
        <v>0</v>
      </c>
      <c r="BC36" s="536">
        <f t="shared" si="99"/>
        <v>0</v>
      </c>
      <c r="BD36" s="538">
        <f t="shared" si="100"/>
        <v>0</v>
      </c>
      <c r="BE36" s="223">
        <v>0</v>
      </c>
      <c r="BF36" s="221">
        <v>0</v>
      </c>
      <c r="BG36" s="537">
        <v>0</v>
      </c>
      <c r="BH36" s="536">
        <v>0</v>
      </c>
      <c r="BI36" s="540">
        <f t="shared" si="101"/>
        <v>0</v>
      </c>
      <c r="BJ36" s="536">
        <f t="shared" si="102"/>
        <v>0</v>
      </c>
      <c r="BK36" s="538">
        <f t="shared" si="103"/>
        <v>0</v>
      </c>
      <c r="BL36" s="223">
        <v>0</v>
      </c>
      <c r="BM36" s="221">
        <v>0</v>
      </c>
      <c r="BN36" s="537">
        <v>0</v>
      </c>
      <c r="BO36" s="536">
        <v>0</v>
      </c>
      <c r="BP36" s="540">
        <f t="shared" si="104"/>
        <v>0</v>
      </c>
      <c r="BQ36" s="540">
        <f t="shared" si="105"/>
        <v>0</v>
      </c>
      <c r="BR36" s="536">
        <f t="shared" si="106"/>
        <v>0</v>
      </c>
      <c r="BS36" s="538">
        <f t="shared" si="107"/>
        <v>0</v>
      </c>
      <c r="BT36" s="220">
        <f t="shared" si="108"/>
        <v>0</v>
      </c>
      <c r="BU36" s="221">
        <f t="shared" si="109"/>
        <v>0</v>
      </c>
      <c r="BV36" s="537">
        <f t="shared" si="110"/>
        <v>0</v>
      </c>
      <c r="BW36" s="536">
        <f t="shared" si="111"/>
        <v>0</v>
      </c>
      <c r="BX36" s="540">
        <f t="shared" si="112"/>
        <v>0</v>
      </c>
      <c r="BY36" s="536">
        <f t="shared" si="113"/>
        <v>0</v>
      </c>
      <c r="BZ36" s="538">
        <f t="shared" si="114"/>
        <v>0</v>
      </c>
      <c r="CA36" s="217">
        <f t="shared" si="115"/>
        <v>0</v>
      </c>
      <c r="CB36" s="541">
        <f t="shared" si="116"/>
        <v>0</v>
      </c>
      <c r="CC36" s="38">
        <f t="shared" si="50"/>
        <v>0</v>
      </c>
    </row>
    <row r="37" spans="2:81" ht="15" customHeight="1">
      <c r="B37" s="213" t="s">
        <v>83</v>
      </c>
      <c r="C37" s="217" t="s">
        <v>84</v>
      </c>
      <c r="D37" s="461"/>
      <c r="E37" s="215"/>
      <c r="F37" s="216">
        <f t="shared" si="67"/>
        <v>0</v>
      </c>
      <c r="G37" s="214"/>
      <c r="H37" s="214"/>
      <c r="I37" s="214"/>
      <c r="J37" s="214"/>
      <c r="K37" s="214"/>
      <c r="L37" s="214"/>
      <c r="M37" s="214"/>
      <c r="N37" s="214"/>
      <c r="O37" s="214"/>
      <c r="P37" s="214"/>
      <c r="Q37" s="214"/>
      <c r="R37" s="214"/>
      <c r="S37" s="217">
        <f t="shared" si="68"/>
        <v>0</v>
      </c>
      <c r="T37" s="218">
        <f t="shared" si="69"/>
        <v>0</v>
      </c>
      <c r="U37" s="217">
        <f t="shared" si="70"/>
        <v>0</v>
      </c>
      <c r="V37" s="217">
        <f t="shared" si="71"/>
        <v>0</v>
      </c>
      <c r="W37" s="217">
        <f t="shared" si="72"/>
        <v>0</v>
      </c>
      <c r="X37" s="219"/>
      <c r="Y37" s="536">
        <f t="shared" si="73"/>
        <v>0.05</v>
      </c>
      <c r="Z37" s="220">
        <f t="shared" si="74"/>
        <v>0</v>
      </c>
      <c r="AA37" s="221">
        <f t="shared" si="75"/>
        <v>0</v>
      </c>
      <c r="AB37" s="537">
        <f t="shared" si="76"/>
        <v>0</v>
      </c>
      <c r="AC37" s="536">
        <f t="shared" si="77"/>
        <v>0</v>
      </c>
      <c r="AD37" s="600">
        <f t="shared" si="78"/>
        <v>0</v>
      </c>
      <c r="AE37" s="538">
        <f t="shared" si="79"/>
        <v>0</v>
      </c>
      <c r="AF37" s="536">
        <f t="shared" si="80"/>
        <v>0</v>
      </c>
      <c r="AG37" s="538">
        <f t="shared" si="81"/>
        <v>0</v>
      </c>
      <c r="AH37" s="271">
        <f t="shared" si="82"/>
        <v>0</v>
      </c>
      <c r="AI37" s="221">
        <f t="shared" si="83"/>
        <v>0</v>
      </c>
      <c r="AJ37" s="537">
        <f t="shared" si="84"/>
        <v>0</v>
      </c>
      <c r="AK37" s="536">
        <f t="shared" si="85"/>
        <v>0</v>
      </c>
      <c r="AL37" s="601">
        <f t="shared" si="86"/>
        <v>0</v>
      </c>
      <c r="AM37" s="540">
        <f t="shared" si="87"/>
        <v>0</v>
      </c>
      <c r="AN37" s="536">
        <f t="shared" si="88"/>
        <v>0</v>
      </c>
      <c r="AO37" s="538">
        <f t="shared" si="89"/>
        <v>0</v>
      </c>
      <c r="AP37" s="222">
        <f t="shared" si="90"/>
        <v>0</v>
      </c>
      <c r="AQ37" s="221">
        <f t="shared" si="91"/>
        <v>0</v>
      </c>
      <c r="AR37" s="537">
        <f t="shared" si="92"/>
        <v>0</v>
      </c>
      <c r="AS37" s="536">
        <f t="shared" si="93"/>
        <v>0</v>
      </c>
      <c r="AT37" s="602">
        <f t="shared" si="94"/>
        <v>0</v>
      </c>
      <c r="AU37" s="540">
        <f t="shared" si="95"/>
        <v>0</v>
      </c>
      <c r="AV37" s="536">
        <f t="shared" si="96"/>
        <v>0</v>
      </c>
      <c r="AW37" s="538">
        <f t="shared" si="97"/>
        <v>0</v>
      </c>
      <c r="AX37" s="223">
        <v>0</v>
      </c>
      <c r="AY37" s="221">
        <v>0</v>
      </c>
      <c r="AZ37" s="537">
        <v>0</v>
      </c>
      <c r="BA37" s="536">
        <v>0</v>
      </c>
      <c r="BB37" s="540">
        <f t="shared" si="98"/>
        <v>0</v>
      </c>
      <c r="BC37" s="536">
        <f t="shared" si="99"/>
        <v>0</v>
      </c>
      <c r="BD37" s="538">
        <f t="shared" si="100"/>
        <v>0</v>
      </c>
      <c r="BE37" s="223">
        <v>0</v>
      </c>
      <c r="BF37" s="221">
        <v>0</v>
      </c>
      <c r="BG37" s="537">
        <v>0</v>
      </c>
      <c r="BH37" s="536">
        <v>0</v>
      </c>
      <c r="BI37" s="540">
        <f t="shared" si="101"/>
        <v>0</v>
      </c>
      <c r="BJ37" s="536">
        <f t="shared" si="102"/>
        <v>0</v>
      </c>
      <c r="BK37" s="538">
        <f t="shared" si="103"/>
        <v>0</v>
      </c>
      <c r="BL37" s="223">
        <v>0</v>
      </c>
      <c r="BM37" s="221">
        <v>0</v>
      </c>
      <c r="BN37" s="537">
        <v>0</v>
      </c>
      <c r="BO37" s="536">
        <v>0</v>
      </c>
      <c r="BP37" s="540">
        <f t="shared" si="104"/>
        <v>0</v>
      </c>
      <c r="BQ37" s="540">
        <f t="shared" si="105"/>
        <v>0</v>
      </c>
      <c r="BR37" s="536">
        <f t="shared" si="106"/>
        <v>0</v>
      </c>
      <c r="BS37" s="538">
        <f t="shared" si="107"/>
        <v>0</v>
      </c>
      <c r="BT37" s="220">
        <f t="shared" si="108"/>
        <v>0</v>
      </c>
      <c r="BU37" s="221">
        <f t="shared" si="109"/>
        <v>0</v>
      </c>
      <c r="BV37" s="537">
        <f t="shared" si="110"/>
        <v>0</v>
      </c>
      <c r="BW37" s="536">
        <f t="shared" si="111"/>
        <v>0</v>
      </c>
      <c r="BX37" s="540">
        <f t="shared" si="112"/>
        <v>0</v>
      </c>
      <c r="BY37" s="536">
        <f t="shared" si="113"/>
        <v>0</v>
      </c>
      <c r="BZ37" s="538">
        <f t="shared" si="114"/>
        <v>0</v>
      </c>
      <c r="CA37" s="217">
        <f t="shared" si="115"/>
        <v>0</v>
      </c>
      <c r="CB37" s="541">
        <f t="shared" si="116"/>
        <v>0</v>
      </c>
      <c r="CC37" s="38">
        <f t="shared" si="50"/>
        <v>0</v>
      </c>
    </row>
    <row r="38" spans="2:81">
      <c r="B38" s="224" t="s">
        <v>98</v>
      </c>
      <c r="C38" s="217" t="s">
        <v>84</v>
      </c>
      <c r="D38" s="461"/>
      <c r="E38" s="215"/>
      <c r="F38" s="216">
        <f t="shared" si="67"/>
        <v>0</v>
      </c>
      <c r="G38" s="214"/>
      <c r="H38" s="214"/>
      <c r="I38" s="214"/>
      <c r="J38" s="214"/>
      <c r="K38" s="214"/>
      <c r="L38" s="214"/>
      <c r="M38" s="214"/>
      <c r="N38" s="214"/>
      <c r="O38" s="214"/>
      <c r="P38" s="214"/>
      <c r="Q38" s="214"/>
      <c r="R38" s="214"/>
      <c r="S38" s="217">
        <f t="shared" si="68"/>
        <v>0</v>
      </c>
      <c r="T38" s="218">
        <f t="shared" si="69"/>
        <v>0</v>
      </c>
      <c r="U38" s="217">
        <f t="shared" si="70"/>
        <v>0</v>
      </c>
      <c r="V38" s="217">
        <f t="shared" si="71"/>
        <v>0</v>
      </c>
      <c r="W38" s="217">
        <f t="shared" si="72"/>
        <v>0</v>
      </c>
      <c r="X38" s="219"/>
      <c r="Y38" s="536">
        <f t="shared" si="73"/>
        <v>0.05</v>
      </c>
      <c r="Z38" s="220">
        <f t="shared" si="74"/>
        <v>0</v>
      </c>
      <c r="AA38" s="221">
        <f t="shared" si="75"/>
        <v>0</v>
      </c>
      <c r="AB38" s="537">
        <f t="shared" si="76"/>
        <v>0</v>
      </c>
      <c r="AC38" s="536">
        <f t="shared" si="77"/>
        <v>0</v>
      </c>
      <c r="AD38" s="600">
        <f t="shared" si="78"/>
        <v>0</v>
      </c>
      <c r="AE38" s="540">
        <f t="shared" si="79"/>
        <v>0</v>
      </c>
      <c r="AF38" s="536">
        <f t="shared" si="80"/>
        <v>0</v>
      </c>
      <c r="AG38" s="538">
        <f t="shared" si="81"/>
        <v>0</v>
      </c>
      <c r="AH38" s="222">
        <f t="shared" si="82"/>
        <v>0</v>
      </c>
      <c r="AI38" s="221">
        <f t="shared" si="83"/>
        <v>0</v>
      </c>
      <c r="AJ38" s="537">
        <f t="shared" si="84"/>
        <v>0</v>
      </c>
      <c r="AK38" s="536">
        <f t="shared" si="85"/>
        <v>0</v>
      </c>
      <c r="AL38" s="540">
        <f t="shared" si="86"/>
        <v>0</v>
      </c>
      <c r="AM38" s="540">
        <f t="shared" si="87"/>
        <v>0</v>
      </c>
      <c r="AN38" s="536">
        <f t="shared" si="88"/>
        <v>0</v>
      </c>
      <c r="AO38" s="538">
        <f t="shared" si="89"/>
        <v>0</v>
      </c>
      <c r="AP38" s="271">
        <f t="shared" si="90"/>
        <v>0</v>
      </c>
      <c r="AQ38" s="221">
        <f t="shared" si="91"/>
        <v>0</v>
      </c>
      <c r="AR38" s="537">
        <f t="shared" si="92"/>
        <v>0</v>
      </c>
      <c r="AS38" s="536">
        <f t="shared" si="93"/>
        <v>0</v>
      </c>
      <c r="AT38" s="540">
        <f t="shared" si="94"/>
        <v>0</v>
      </c>
      <c r="AU38" s="540">
        <f t="shared" si="95"/>
        <v>0</v>
      </c>
      <c r="AV38" s="536">
        <f t="shared" si="96"/>
        <v>0</v>
      </c>
      <c r="AW38" s="538">
        <f t="shared" si="97"/>
        <v>0</v>
      </c>
      <c r="AX38" s="223">
        <v>0</v>
      </c>
      <c r="AY38" s="221">
        <v>0</v>
      </c>
      <c r="AZ38" s="537">
        <v>0</v>
      </c>
      <c r="BA38" s="536">
        <v>0</v>
      </c>
      <c r="BB38" s="540">
        <f t="shared" si="98"/>
        <v>0</v>
      </c>
      <c r="BC38" s="536">
        <f t="shared" si="99"/>
        <v>0</v>
      </c>
      <c r="BD38" s="538">
        <f t="shared" si="100"/>
        <v>0</v>
      </c>
      <c r="BE38" s="223">
        <v>0</v>
      </c>
      <c r="BF38" s="221">
        <v>0</v>
      </c>
      <c r="BG38" s="537">
        <v>0</v>
      </c>
      <c r="BH38" s="536">
        <v>0</v>
      </c>
      <c r="BI38" s="540">
        <f t="shared" si="101"/>
        <v>0</v>
      </c>
      <c r="BJ38" s="536">
        <f t="shared" si="102"/>
        <v>0</v>
      </c>
      <c r="BK38" s="538">
        <f t="shared" si="103"/>
        <v>0</v>
      </c>
      <c r="BL38" s="223">
        <v>0</v>
      </c>
      <c r="BM38" s="221">
        <v>0</v>
      </c>
      <c r="BN38" s="537">
        <v>0</v>
      </c>
      <c r="BO38" s="536">
        <v>0</v>
      </c>
      <c r="BP38" s="540">
        <f t="shared" si="104"/>
        <v>0</v>
      </c>
      <c r="BQ38" s="540">
        <f t="shared" si="105"/>
        <v>0</v>
      </c>
      <c r="BR38" s="536">
        <f t="shared" si="106"/>
        <v>0</v>
      </c>
      <c r="BS38" s="538">
        <f t="shared" si="107"/>
        <v>0</v>
      </c>
      <c r="BT38" s="220">
        <f t="shared" si="108"/>
        <v>0</v>
      </c>
      <c r="BU38" s="221">
        <f t="shared" si="109"/>
        <v>0</v>
      </c>
      <c r="BV38" s="537">
        <f t="shared" si="110"/>
        <v>0</v>
      </c>
      <c r="BW38" s="536">
        <f t="shared" si="111"/>
        <v>0</v>
      </c>
      <c r="BX38" s="540">
        <f t="shared" si="112"/>
        <v>0</v>
      </c>
      <c r="BY38" s="536">
        <f t="shared" si="113"/>
        <v>0</v>
      </c>
      <c r="BZ38" s="538">
        <f t="shared" si="114"/>
        <v>0</v>
      </c>
      <c r="CA38" s="217">
        <f t="shared" si="115"/>
        <v>0</v>
      </c>
      <c r="CB38" s="541">
        <f t="shared" si="116"/>
        <v>0</v>
      </c>
      <c r="CC38" s="38">
        <f t="shared" si="50"/>
        <v>0</v>
      </c>
    </row>
    <row r="39" spans="2:81">
      <c r="B39" s="224"/>
      <c r="C39" s="217" t="s">
        <v>84</v>
      </c>
      <c r="D39" s="461"/>
      <c r="E39" s="215"/>
      <c r="F39" s="216">
        <f t="shared" si="67"/>
        <v>0</v>
      </c>
      <c r="G39" s="214"/>
      <c r="H39" s="214"/>
      <c r="I39" s="214"/>
      <c r="J39" s="214"/>
      <c r="K39" s="214"/>
      <c r="L39" s="214"/>
      <c r="M39" s="214"/>
      <c r="N39" s="214"/>
      <c r="O39" s="214"/>
      <c r="P39" s="214"/>
      <c r="Q39" s="214"/>
      <c r="R39" s="214"/>
      <c r="S39" s="217">
        <f t="shared" si="68"/>
        <v>0</v>
      </c>
      <c r="T39" s="218">
        <f t="shared" si="69"/>
        <v>0</v>
      </c>
      <c r="U39" s="217">
        <f t="shared" si="70"/>
        <v>0</v>
      </c>
      <c r="V39" s="217">
        <f t="shared" si="71"/>
        <v>0</v>
      </c>
      <c r="W39" s="217">
        <f t="shared" si="72"/>
        <v>0</v>
      </c>
      <c r="X39" s="219"/>
      <c r="Y39" s="536">
        <f t="shared" si="73"/>
        <v>0.05</v>
      </c>
      <c r="Z39" s="220">
        <f t="shared" si="74"/>
        <v>0</v>
      </c>
      <c r="AA39" s="221">
        <f t="shared" si="75"/>
        <v>0</v>
      </c>
      <c r="AB39" s="537">
        <f t="shared" si="76"/>
        <v>0</v>
      </c>
      <c r="AC39" s="536">
        <f t="shared" si="77"/>
        <v>0</v>
      </c>
      <c r="AD39" s="538">
        <f t="shared" si="78"/>
        <v>0</v>
      </c>
      <c r="AE39" s="538">
        <f t="shared" si="79"/>
        <v>0</v>
      </c>
      <c r="AF39" s="536">
        <f t="shared" si="80"/>
        <v>0</v>
      </c>
      <c r="AG39" s="538">
        <f t="shared" si="81"/>
        <v>0</v>
      </c>
      <c r="AH39" s="225">
        <f t="shared" si="82"/>
        <v>0</v>
      </c>
      <c r="AI39" s="221">
        <f t="shared" si="83"/>
        <v>0</v>
      </c>
      <c r="AJ39" s="537">
        <f t="shared" si="84"/>
        <v>0</v>
      </c>
      <c r="AK39" s="536">
        <f t="shared" si="85"/>
        <v>0</v>
      </c>
      <c r="AL39" s="540">
        <f t="shared" si="86"/>
        <v>0</v>
      </c>
      <c r="AM39" s="540">
        <f t="shared" si="87"/>
        <v>0</v>
      </c>
      <c r="AN39" s="536">
        <f t="shared" si="88"/>
        <v>0</v>
      </c>
      <c r="AO39" s="538">
        <f t="shared" si="89"/>
        <v>0</v>
      </c>
      <c r="AP39" s="225">
        <f t="shared" si="90"/>
        <v>0</v>
      </c>
      <c r="AQ39" s="221">
        <f t="shared" si="91"/>
        <v>0</v>
      </c>
      <c r="AR39" s="537">
        <f t="shared" si="92"/>
        <v>0</v>
      </c>
      <c r="AS39" s="536">
        <f t="shared" si="93"/>
        <v>0</v>
      </c>
      <c r="AT39" s="540">
        <f t="shared" si="94"/>
        <v>0</v>
      </c>
      <c r="AU39" s="540">
        <f t="shared" si="95"/>
        <v>0</v>
      </c>
      <c r="AV39" s="536">
        <f t="shared" si="96"/>
        <v>0</v>
      </c>
      <c r="AW39" s="538">
        <f t="shared" si="97"/>
        <v>0</v>
      </c>
      <c r="AX39" s="223">
        <v>0</v>
      </c>
      <c r="AY39" s="221">
        <v>0</v>
      </c>
      <c r="AZ39" s="537">
        <v>0</v>
      </c>
      <c r="BA39" s="536">
        <v>0</v>
      </c>
      <c r="BB39" s="540">
        <f t="shared" si="98"/>
        <v>0</v>
      </c>
      <c r="BC39" s="536">
        <f t="shared" si="99"/>
        <v>0</v>
      </c>
      <c r="BD39" s="538">
        <f t="shared" si="100"/>
        <v>0</v>
      </c>
      <c r="BE39" s="223">
        <v>0</v>
      </c>
      <c r="BF39" s="221">
        <v>0</v>
      </c>
      <c r="BG39" s="537">
        <v>0</v>
      </c>
      <c r="BH39" s="536">
        <v>0</v>
      </c>
      <c r="BI39" s="540">
        <f t="shared" si="101"/>
        <v>0</v>
      </c>
      <c r="BJ39" s="536">
        <f t="shared" si="102"/>
        <v>0</v>
      </c>
      <c r="BK39" s="538">
        <f t="shared" ref="BK39:BK43" si="117">(BI39*BJ39)^2</f>
        <v>0</v>
      </c>
      <c r="BL39" s="223">
        <v>0</v>
      </c>
      <c r="BM39" s="221">
        <v>0</v>
      </c>
      <c r="BN39" s="537">
        <v>0</v>
      </c>
      <c r="BO39" s="536">
        <v>0</v>
      </c>
      <c r="BP39" s="540">
        <f t="shared" si="104"/>
        <v>0</v>
      </c>
      <c r="BQ39" s="540">
        <f t="shared" si="105"/>
        <v>0</v>
      </c>
      <c r="BR39" s="536">
        <f t="shared" si="106"/>
        <v>0</v>
      </c>
      <c r="BS39" s="538">
        <f t="shared" si="107"/>
        <v>0</v>
      </c>
      <c r="BT39" s="220">
        <f t="shared" si="108"/>
        <v>0</v>
      </c>
      <c r="BU39" s="221">
        <f t="shared" si="109"/>
        <v>0</v>
      </c>
      <c r="BV39" s="537">
        <f t="shared" si="110"/>
        <v>0</v>
      </c>
      <c r="BW39" s="536">
        <f t="shared" si="111"/>
        <v>0</v>
      </c>
      <c r="BX39" s="540">
        <f t="shared" si="112"/>
        <v>0</v>
      </c>
      <c r="BY39" s="536">
        <f t="shared" si="113"/>
        <v>0</v>
      </c>
      <c r="BZ39" s="538">
        <f t="shared" si="114"/>
        <v>0</v>
      </c>
      <c r="CA39" s="217">
        <f t="shared" si="115"/>
        <v>0</v>
      </c>
      <c r="CB39" s="541">
        <f t="shared" si="116"/>
        <v>0</v>
      </c>
      <c r="CC39" s="38">
        <f t="shared" si="50"/>
        <v>0</v>
      </c>
    </row>
    <row r="40" spans="2:81">
      <c r="B40" s="226"/>
      <c r="C40" s="217" t="s">
        <v>84</v>
      </c>
      <c r="D40" s="461"/>
      <c r="E40" s="215"/>
      <c r="F40" s="216">
        <f t="shared" si="67"/>
        <v>0</v>
      </c>
      <c r="G40" s="214"/>
      <c r="H40" s="214"/>
      <c r="I40" s="214"/>
      <c r="J40" s="214"/>
      <c r="K40" s="214"/>
      <c r="L40" s="214"/>
      <c r="M40" s="214"/>
      <c r="N40" s="214"/>
      <c r="O40" s="214"/>
      <c r="P40" s="214"/>
      <c r="Q40" s="214"/>
      <c r="R40" s="214"/>
      <c r="S40" s="217">
        <f t="shared" si="68"/>
        <v>0</v>
      </c>
      <c r="T40" s="218">
        <f t="shared" si="69"/>
        <v>0</v>
      </c>
      <c r="U40" s="217">
        <f t="shared" si="70"/>
        <v>0</v>
      </c>
      <c r="V40" s="217">
        <f t="shared" si="71"/>
        <v>0</v>
      </c>
      <c r="W40" s="217">
        <f t="shared" si="72"/>
        <v>0</v>
      </c>
      <c r="X40" s="219"/>
      <c r="Y40" s="536">
        <f t="shared" si="73"/>
        <v>0.05</v>
      </c>
      <c r="Z40" s="220">
        <f t="shared" si="74"/>
        <v>0</v>
      </c>
      <c r="AA40" s="221">
        <f t="shared" si="75"/>
        <v>0</v>
      </c>
      <c r="AB40" s="537">
        <f t="shared" si="76"/>
        <v>0</v>
      </c>
      <c r="AC40" s="536">
        <f t="shared" si="77"/>
        <v>0</v>
      </c>
      <c r="AD40" s="538">
        <f t="shared" si="78"/>
        <v>0</v>
      </c>
      <c r="AE40" s="538">
        <f t="shared" si="79"/>
        <v>0</v>
      </c>
      <c r="AF40" s="536">
        <f t="shared" si="80"/>
        <v>0</v>
      </c>
      <c r="AG40" s="538">
        <f t="shared" si="81"/>
        <v>0</v>
      </c>
      <c r="AH40" s="225">
        <f t="shared" si="82"/>
        <v>0</v>
      </c>
      <c r="AI40" s="221">
        <f t="shared" si="83"/>
        <v>0</v>
      </c>
      <c r="AJ40" s="537">
        <f t="shared" si="84"/>
        <v>0</v>
      </c>
      <c r="AK40" s="536">
        <f t="shared" si="85"/>
        <v>0</v>
      </c>
      <c r="AL40" s="540">
        <f t="shared" si="86"/>
        <v>0</v>
      </c>
      <c r="AM40" s="540">
        <f t="shared" si="87"/>
        <v>0</v>
      </c>
      <c r="AN40" s="536">
        <f t="shared" si="88"/>
        <v>0</v>
      </c>
      <c r="AO40" s="538">
        <f t="shared" si="89"/>
        <v>0</v>
      </c>
      <c r="AP40" s="225">
        <f t="shared" si="90"/>
        <v>0</v>
      </c>
      <c r="AQ40" s="221">
        <f t="shared" si="91"/>
        <v>0</v>
      </c>
      <c r="AR40" s="537">
        <f t="shared" si="92"/>
        <v>0</v>
      </c>
      <c r="AS40" s="536">
        <f t="shared" si="93"/>
        <v>0</v>
      </c>
      <c r="AT40" s="540">
        <f t="shared" si="94"/>
        <v>0</v>
      </c>
      <c r="AU40" s="540">
        <f t="shared" si="95"/>
        <v>0</v>
      </c>
      <c r="AV40" s="536">
        <f t="shared" si="96"/>
        <v>0</v>
      </c>
      <c r="AW40" s="538">
        <f t="shared" si="97"/>
        <v>0</v>
      </c>
      <c r="AX40" s="223">
        <v>0</v>
      </c>
      <c r="AY40" s="221">
        <v>0</v>
      </c>
      <c r="AZ40" s="537">
        <v>0</v>
      </c>
      <c r="BA40" s="536">
        <v>0</v>
      </c>
      <c r="BB40" s="540">
        <f t="shared" si="98"/>
        <v>0</v>
      </c>
      <c r="BC40" s="536">
        <f t="shared" si="99"/>
        <v>0</v>
      </c>
      <c r="BD40" s="538">
        <f t="shared" si="100"/>
        <v>0</v>
      </c>
      <c r="BE40" s="223">
        <v>0</v>
      </c>
      <c r="BF40" s="221">
        <v>0</v>
      </c>
      <c r="BG40" s="537">
        <v>0</v>
      </c>
      <c r="BH40" s="536">
        <v>0</v>
      </c>
      <c r="BI40" s="540">
        <f t="shared" si="101"/>
        <v>0</v>
      </c>
      <c r="BJ40" s="536">
        <f t="shared" si="102"/>
        <v>0</v>
      </c>
      <c r="BK40" s="538">
        <f t="shared" si="117"/>
        <v>0</v>
      </c>
      <c r="BL40" s="223">
        <v>0</v>
      </c>
      <c r="BM40" s="221">
        <v>0</v>
      </c>
      <c r="BN40" s="537">
        <v>0</v>
      </c>
      <c r="BO40" s="536">
        <v>0</v>
      </c>
      <c r="BP40" s="540">
        <f t="shared" si="104"/>
        <v>0</v>
      </c>
      <c r="BQ40" s="540">
        <f t="shared" si="105"/>
        <v>0</v>
      </c>
      <c r="BR40" s="536">
        <f t="shared" si="106"/>
        <v>0</v>
      </c>
      <c r="BS40" s="538">
        <f t="shared" si="107"/>
        <v>0</v>
      </c>
      <c r="BT40" s="220">
        <f t="shared" si="108"/>
        <v>0</v>
      </c>
      <c r="BU40" s="221">
        <f t="shared" si="109"/>
        <v>0</v>
      </c>
      <c r="BV40" s="537">
        <f t="shared" si="110"/>
        <v>0</v>
      </c>
      <c r="BW40" s="536">
        <f t="shared" si="111"/>
        <v>0</v>
      </c>
      <c r="BX40" s="540">
        <f t="shared" si="112"/>
        <v>0</v>
      </c>
      <c r="BY40" s="536">
        <f t="shared" si="113"/>
        <v>0</v>
      </c>
      <c r="BZ40" s="538">
        <f t="shared" si="114"/>
        <v>0</v>
      </c>
      <c r="CA40" s="217">
        <f t="shared" si="115"/>
        <v>0</v>
      </c>
      <c r="CB40" s="541">
        <f t="shared" si="116"/>
        <v>0</v>
      </c>
      <c r="CC40" s="38">
        <f t="shared" si="50"/>
        <v>0</v>
      </c>
    </row>
    <row r="41" spans="2:81">
      <c r="B41" s="213" t="s">
        <v>86</v>
      </c>
      <c r="C41" s="217" t="s">
        <v>84</v>
      </c>
      <c r="D41" s="461"/>
      <c r="E41" s="215"/>
      <c r="F41" s="216">
        <f t="shared" si="67"/>
        <v>0</v>
      </c>
      <c r="G41" s="214"/>
      <c r="H41" s="214"/>
      <c r="I41" s="214"/>
      <c r="J41" s="214"/>
      <c r="K41" s="214"/>
      <c r="L41" s="214"/>
      <c r="M41" s="214"/>
      <c r="N41" s="214"/>
      <c r="O41" s="214"/>
      <c r="P41" s="214"/>
      <c r="Q41" s="214"/>
      <c r="R41" s="214"/>
      <c r="S41" s="217">
        <f t="shared" si="68"/>
        <v>0</v>
      </c>
      <c r="T41" s="218">
        <f t="shared" si="69"/>
        <v>0</v>
      </c>
      <c r="U41" s="217">
        <f t="shared" si="70"/>
        <v>0</v>
      </c>
      <c r="V41" s="217">
        <f t="shared" si="71"/>
        <v>0</v>
      </c>
      <c r="W41" s="217">
        <f t="shared" si="72"/>
        <v>0</v>
      </c>
      <c r="X41" s="219"/>
      <c r="Y41" s="536">
        <f t="shared" si="73"/>
        <v>0.05</v>
      </c>
      <c r="Z41" s="220">
        <f t="shared" si="74"/>
        <v>0</v>
      </c>
      <c r="AA41" s="221">
        <f t="shared" si="75"/>
        <v>0</v>
      </c>
      <c r="AB41" s="537">
        <f t="shared" si="76"/>
        <v>0</v>
      </c>
      <c r="AC41" s="536">
        <f t="shared" si="77"/>
        <v>0</v>
      </c>
      <c r="AD41" s="538">
        <f t="shared" si="78"/>
        <v>0</v>
      </c>
      <c r="AE41" s="600">
        <f t="shared" si="79"/>
        <v>0</v>
      </c>
      <c r="AF41" s="536">
        <f t="shared" si="80"/>
        <v>0</v>
      </c>
      <c r="AG41" s="538">
        <f t="shared" si="81"/>
        <v>0</v>
      </c>
      <c r="AH41" s="271">
        <f t="shared" si="82"/>
        <v>0</v>
      </c>
      <c r="AI41" s="221">
        <f t="shared" si="83"/>
        <v>0</v>
      </c>
      <c r="AJ41" s="537">
        <f t="shared" si="84"/>
        <v>0</v>
      </c>
      <c r="AK41" s="536">
        <f t="shared" si="85"/>
        <v>0</v>
      </c>
      <c r="AL41" s="601">
        <f t="shared" si="86"/>
        <v>0</v>
      </c>
      <c r="AM41" s="540">
        <f t="shared" si="87"/>
        <v>0</v>
      </c>
      <c r="AN41" s="536">
        <f t="shared" si="88"/>
        <v>0</v>
      </c>
      <c r="AO41" s="538">
        <f t="shared" si="89"/>
        <v>0</v>
      </c>
      <c r="AP41" s="225">
        <f t="shared" si="90"/>
        <v>0</v>
      </c>
      <c r="AQ41" s="221">
        <f t="shared" si="91"/>
        <v>0</v>
      </c>
      <c r="AR41" s="537">
        <f t="shared" si="92"/>
        <v>0</v>
      </c>
      <c r="AS41" s="536">
        <f t="shared" si="93"/>
        <v>0</v>
      </c>
      <c r="AT41" s="540">
        <f t="shared" si="94"/>
        <v>0</v>
      </c>
      <c r="AU41" s="540">
        <f t="shared" si="95"/>
        <v>0</v>
      </c>
      <c r="AV41" s="536">
        <f t="shared" si="96"/>
        <v>0</v>
      </c>
      <c r="AW41" s="538">
        <f t="shared" si="97"/>
        <v>0</v>
      </c>
      <c r="AX41" s="223">
        <v>0</v>
      </c>
      <c r="AY41" s="221">
        <v>0</v>
      </c>
      <c r="AZ41" s="537">
        <v>0</v>
      </c>
      <c r="BA41" s="536">
        <v>0</v>
      </c>
      <c r="BB41" s="540">
        <f t="shared" si="98"/>
        <v>0</v>
      </c>
      <c r="BC41" s="536">
        <f t="shared" si="99"/>
        <v>0</v>
      </c>
      <c r="BD41" s="538">
        <f t="shared" si="100"/>
        <v>0</v>
      </c>
      <c r="BE41" s="223">
        <v>0</v>
      </c>
      <c r="BF41" s="221">
        <v>0</v>
      </c>
      <c r="BG41" s="537">
        <v>0</v>
      </c>
      <c r="BH41" s="536">
        <v>0</v>
      </c>
      <c r="BI41" s="540">
        <f t="shared" si="101"/>
        <v>0</v>
      </c>
      <c r="BJ41" s="536">
        <f t="shared" si="102"/>
        <v>0</v>
      </c>
      <c r="BK41" s="538">
        <f t="shared" si="117"/>
        <v>0</v>
      </c>
      <c r="BL41" s="223">
        <v>0</v>
      </c>
      <c r="BM41" s="221">
        <v>0</v>
      </c>
      <c r="BN41" s="537">
        <v>0</v>
      </c>
      <c r="BO41" s="536">
        <v>0</v>
      </c>
      <c r="BP41" s="540">
        <f t="shared" si="104"/>
        <v>0</v>
      </c>
      <c r="BQ41" s="540">
        <f t="shared" si="105"/>
        <v>0</v>
      </c>
      <c r="BR41" s="536">
        <f t="shared" si="106"/>
        <v>0</v>
      </c>
      <c r="BS41" s="538">
        <f t="shared" si="107"/>
        <v>0</v>
      </c>
      <c r="BT41" s="220">
        <f t="shared" si="108"/>
        <v>0</v>
      </c>
      <c r="BU41" s="221">
        <f t="shared" si="109"/>
        <v>0</v>
      </c>
      <c r="BV41" s="537">
        <f t="shared" si="110"/>
        <v>0</v>
      </c>
      <c r="BW41" s="536">
        <f t="shared" si="111"/>
        <v>0</v>
      </c>
      <c r="BX41" s="540">
        <f t="shared" si="112"/>
        <v>0</v>
      </c>
      <c r="BY41" s="536">
        <f t="shared" si="113"/>
        <v>0</v>
      </c>
      <c r="BZ41" s="538">
        <f t="shared" si="114"/>
        <v>0</v>
      </c>
      <c r="CA41" s="217">
        <f t="shared" si="115"/>
        <v>0</v>
      </c>
      <c r="CB41" s="541">
        <f t="shared" si="116"/>
        <v>0</v>
      </c>
      <c r="CC41" s="38">
        <f t="shared" si="50"/>
        <v>0</v>
      </c>
    </row>
    <row r="42" spans="2:81">
      <c r="B42" s="224" t="s">
        <v>98</v>
      </c>
      <c r="C42" s="217" t="s">
        <v>84</v>
      </c>
      <c r="D42" s="461"/>
      <c r="E42" s="240"/>
      <c r="F42" s="216">
        <f t="shared" si="67"/>
        <v>0</v>
      </c>
      <c r="G42" s="214"/>
      <c r="H42" s="214"/>
      <c r="I42" s="214"/>
      <c r="J42" s="214"/>
      <c r="K42" s="214"/>
      <c r="L42" s="214"/>
      <c r="M42" s="214"/>
      <c r="N42" s="214"/>
      <c r="O42" s="214"/>
      <c r="P42" s="214"/>
      <c r="Q42" s="214"/>
      <c r="R42" s="214"/>
      <c r="S42" s="217">
        <f t="shared" si="68"/>
        <v>0</v>
      </c>
      <c r="T42" s="218">
        <f t="shared" si="69"/>
        <v>0</v>
      </c>
      <c r="U42" s="217">
        <f t="shared" si="70"/>
        <v>0</v>
      </c>
      <c r="V42" s="217">
        <f t="shared" si="71"/>
        <v>0</v>
      </c>
      <c r="W42" s="217">
        <f t="shared" si="72"/>
        <v>0</v>
      </c>
      <c r="X42" s="219"/>
      <c r="Y42" s="536">
        <f t="shared" si="73"/>
        <v>0.05</v>
      </c>
      <c r="Z42" s="220">
        <f t="shared" si="74"/>
        <v>0</v>
      </c>
      <c r="AA42" s="221">
        <f t="shared" si="75"/>
        <v>0</v>
      </c>
      <c r="AB42" s="537">
        <f t="shared" si="76"/>
        <v>0</v>
      </c>
      <c r="AC42" s="536">
        <f t="shared" si="77"/>
        <v>0</v>
      </c>
      <c r="AD42" s="538">
        <f t="shared" si="78"/>
        <v>0</v>
      </c>
      <c r="AE42" s="600">
        <f t="shared" si="79"/>
        <v>0</v>
      </c>
      <c r="AF42" s="536">
        <f t="shared" si="80"/>
        <v>0</v>
      </c>
      <c r="AG42" s="538">
        <f t="shared" si="81"/>
        <v>0</v>
      </c>
      <c r="AH42" s="225">
        <f t="shared" si="82"/>
        <v>0</v>
      </c>
      <c r="AI42" s="221">
        <f t="shared" si="83"/>
        <v>0</v>
      </c>
      <c r="AJ42" s="537">
        <f t="shared" si="84"/>
        <v>0</v>
      </c>
      <c r="AK42" s="536">
        <f t="shared" si="85"/>
        <v>0</v>
      </c>
      <c r="AL42" s="540">
        <f t="shared" si="86"/>
        <v>0</v>
      </c>
      <c r="AM42" s="540">
        <f t="shared" si="87"/>
        <v>0</v>
      </c>
      <c r="AN42" s="536">
        <f t="shared" si="88"/>
        <v>0</v>
      </c>
      <c r="AO42" s="538">
        <f t="shared" si="89"/>
        <v>0</v>
      </c>
      <c r="AP42" s="222">
        <f t="shared" si="90"/>
        <v>0</v>
      </c>
      <c r="AQ42" s="221">
        <f t="shared" si="91"/>
        <v>0</v>
      </c>
      <c r="AR42" s="537">
        <f t="shared" si="92"/>
        <v>0</v>
      </c>
      <c r="AS42" s="536">
        <f t="shared" si="93"/>
        <v>0</v>
      </c>
      <c r="AT42" s="540">
        <f t="shared" si="94"/>
        <v>0</v>
      </c>
      <c r="AU42" s="540">
        <f t="shared" si="95"/>
        <v>0</v>
      </c>
      <c r="AV42" s="536">
        <f t="shared" si="96"/>
        <v>0</v>
      </c>
      <c r="AW42" s="538">
        <f t="shared" si="97"/>
        <v>0</v>
      </c>
      <c r="AX42" s="223">
        <v>0</v>
      </c>
      <c r="AY42" s="221">
        <v>0</v>
      </c>
      <c r="AZ42" s="537">
        <v>0</v>
      </c>
      <c r="BA42" s="536">
        <v>0</v>
      </c>
      <c r="BB42" s="540">
        <f t="shared" si="98"/>
        <v>0</v>
      </c>
      <c r="BC42" s="536">
        <f t="shared" si="99"/>
        <v>0</v>
      </c>
      <c r="BD42" s="538">
        <f t="shared" si="100"/>
        <v>0</v>
      </c>
      <c r="BE42" s="223">
        <v>0</v>
      </c>
      <c r="BF42" s="221">
        <v>0</v>
      </c>
      <c r="BG42" s="537">
        <v>0</v>
      </c>
      <c r="BH42" s="536">
        <v>0</v>
      </c>
      <c r="BI42" s="540">
        <f t="shared" si="101"/>
        <v>0</v>
      </c>
      <c r="BJ42" s="536">
        <f t="shared" si="102"/>
        <v>0</v>
      </c>
      <c r="BK42" s="538">
        <f t="shared" si="117"/>
        <v>0</v>
      </c>
      <c r="BL42" s="223">
        <v>0</v>
      </c>
      <c r="BM42" s="221">
        <v>0</v>
      </c>
      <c r="BN42" s="537">
        <v>0</v>
      </c>
      <c r="BO42" s="536">
        <v>0</v>
      </c>
      <c r="BP42" s="540">
        <f t="shared" si="104"/>
        <v>0</v>
      </c>
      <c r="BQ42" s="540">
        <f t="shared" si="105"/>
        <v>0</v>
      </c>
      <c r="BR42" s="536">
        <f t="shared" si="106"/>
        <v>0</v>
      </c>
      <c r="BS42" s="538">
        <f t="shared" si="107"/>
        <v>0</v>
      </c>
      <c r="BT42" s="220">
        <f t="shared" si="108"/>
        <v>0</v>
      </c>
      <c r="BU42" s="221">
        <f t="shared" si="109"/>
        <v>0</v>
      </c>
      <c r="BV42" s="537">
        <f t="shared" si="110"/>
        <v>0</v>
      </c>
      <c r="BW42" s="536">
        <f t="shared" si="111"/>
        <v>0</v>
      </c>
      <c r="BX42" s="540">
        <f t="shared" si="112"/>
        <v>0</v>
      </c>
      <c r="BY42" s="536">
        <f t="shared" si="113"/>
        <v>0</v>
      </c>
      <c r="BZ42" s="538">
        <f t="shared" si="114"/>
        <v>0</v>
      </c>
      <c r="CA42" s="217">
        <f t="shared" si="115"/>
        <v>0</v>
      </c>
      <c r="CB42" s="541">
        <f t="shared" si="116"/>
        <v>0</v>
      </c>
      <c r="CC42" s="38">
        <f t="shared" si="50"/>
        <v>0</v>
      </c>
    </row>
    <row r="43" spans="2:81">
      <c r="B43" s="226"/>
      <c r="C43" s="217" t="s">
        <v>84</v>
      </c>
      <c r="D43" s="461"/>
      <c r="E43" s="240"/>
      <c r="F43" s="216">
        <f t="shared" si="67"/>
        <v>0</v>
      </c>
      <c r="G43" s="214"/>
      <c r="H43" s="214"/>
      <c r="I43" s="214"/>
      <c r="J43" s="214"/>
      <c r="K43" s="214"/>
      <c r="L43" s="214"/>
      <c r="M43" s="214"/>
      <c r="N43" s="214"/>
      <c r="O43" s="214"/>
      <c r="P43" s="214"/>
      <c r="Q43" s="214"/>
      <c r="R43" s="214"/>
      <c r="S43" s="217">
        <f t="shared" si="68"/>
        <v>0</v>
      </c>
      <c r="T43" s="218">
        <f t="shared" si="69"/>
        <v>0</v>
      </c>
      <c r="U43" s="217">
        <f t="shared" si="70"/>
        <v>0</v>
      </c>
      <c r="V43" s="217">
        <f t="shared" si="71"/>
        <v>0</v>
      </c>
      <c r="W43" s="217">
        <f t="shared" si="72"/>
        <v>0</v>
      </c>
      <c r="X43" s="219"/>
      <c r="Y43" s="536">
        <f t="shared" si="73"/>
        <v>0.05</v>
      </c>
      <c r="Z43" s="220">
        <f t="shared" si="74"/>
        <v>0</v>
      </c>
      <c r="AA43" s="221">
        <f t="shared" si="75"/>
        <v>0</v>
      </c>
      <c r="AB43" s="537">
        <f t="shared" si="76"/>
        <v>0</v>
      </c>
      <c r="AC43" s="536">
        <f t="shared" si="77"/>
        <v>0</v>
      </c>
      <c r="AD43" s="538">
        <f t="shared" si="78"/>
        <v>0</v>
      </c>
      <c r="AE43" s="538">
        <f t="shared" si="79"/>
        <v>0</v>
      </c>
      <c r="AF43" s="536">
        <f t="shared" si="80"/>
        <v>0</v>
      </c>
      <c r="AG43" s="538">
        <f t="shared" si="81"/>
        <v>0</v>
      </c>
      <c r="AH43" s="225">
        <f t="shared" si="82"/>
        <v>0</v>
      </c>
      <c r="AI43" s="221">
        <f t="shared" si="83"/>
        <v>0</v>
      </c>
      <c r="AJ43" s="537">
        <f t="shared" si="84"/>
        <v>0</v>
      </c>
      <c r="AK43" s="536">
        <f t="shared" si="85"/>
        <v>0</v>
      </c>
      <c r="AL43" s="540">
        <f t="shared" si="86"/>
        <v>0</v>
      </c>
      <c r="AM43" s="540">
        <f t="shared" si="87"/>
        <v>0</v>
      </c>
      <c r="AN43" s="536">
        <f t="shared" si="88"/>
        <v>0</v>
      </c>
      <c r="AO43" s="538">
        <f t="shared" si="89"/>
        <v>0</v>
      </c>
      <c r="AP43" s="225">
        <f t="shared" si="90"/>
        <v>0</v>
      </c>
      <c r="AQ43" s="221">
        <f t="shared" si="91"/>
        <v>0</v>
      </c>
      <c r="AR43" s="537">
        <f t="shared" si="92"/>
        <v>0</v>
      </c>
      <c r="AS43" s="536">
        <f t="shared" si="93"/>
        <v>0</v>
      </c>
      <c r="AT43" s="540">
        <f t="shared" si="94"/>
        <v>0</v>
      </c>
      <c r="AU43" s="540">
        <f t="shared" si="95"/>
        <v>0</v>
      </c>
      <c r="AV43" s="536">
        <f t="shared" si="96"/>
        <v>0</v>
      </c>
      <c r="AW43" s="538">
        <f t="shared" si="97"/>
        <v>0</v>
      </c>
      <c r="AX43" s="223">
        <v>0</v>
      </c>
      <c r="AY43" s="221">
        <v>0</v>
      </c>
      <c r="AZ43" s="537">
        <v>0</v>
      </c>
      <c r="BA43" s="536">
        <v>0</v>
      </c>
      <c r="BB43" s="540">
        <f t="shared" si="98"/>
        <v>0</v>
      </c>
      <c r="BC43" s="536">
        <f t="shared" si="99"/>
        <v>0</v>
      </c>
      <c r="BD43" s="538">
        <f t="shared" si="100"/>
        <v>0</v>
      </c>
      <c r="BE43" s="223">
        <v>0</v>
      </c>
      <c r="BF43" s="221">
        <v>0</v>
      </c>
      <c r="BG43" s="537">
        <v>0</v>
      </c>
      <c r="BH43" s="536">
        <v>0</v>
      </c>
      <c r="BI43" s="540">
        <f t="shared" si="101"/>
        <v>0</v>
      </c>
      <c r="BJ43" s="536">
        <f t="shared" si="102"/>
        <v>0</v>
      </c>
      <c r="BK43" s="538">
        <f t="shared" si="117"/>
        <v>0</v>
      </c>
      <c r="BL43" s="223">
        <v>0</v>
      </c>
      <c r="BM43" s="221">
        <v>0</v>
      </c>
      <c r="BN43" s="537">
        <v>0</v>
      </c>
      <c r="BO43" s="536">
        <v>0</v>
      </c>
      <c r="BP43" s="540">
        <f t="shared" si="104"/>
        <v>0</v>
      </c>
      <c r="BQ43" s="540">
        <f t="shared" si="105"/>
        <v>0</v>
      </c>
      <c r="BR43" s="536">
        <f t="shared" si="106"/>
        <v>0</v>
      </c>
      <c r="BS43" s="538">
        <f t="shared" si="107"/>
        <v>0</v>
      </c>
      <c r="BT43" s="220">
        <f t="shared" si="108"/>
        <v>0</v>
      </c>
      <c r="BU43" s="221">
        <f t="shared" si="109"/>
        <v>0</v>
      </c>
      <c r="BV43" s="537">
        <f t="shared" si="110"/>
        <v>0</v>
      </c>
      <c r="BW43" s="536">
        <f t="shared" si="111"/>
        <v>0</v>
      </c>
      <c r="BX43" s="540">
        <f t="shared" si="112"/>
        <v>0</v>
      </c>
      <c r="BY43" s="536">
        <f t="shared" si="113"/>
        <v>0</v>
      </c>
      <c r="BZ43" s="538">
        <f t="shared" si="114"/>
        <v>0</v>
      </c>
      <c r="CA43" s="217">
        <f t="shared" si="115"/>
        <v>0</v>
      </c>
      <c r="CB43" s="541">
        <f t="shared" si="116"/>
        <v>0</v>
      </c>
      <c r="CC43" s="38">
        <f t="shared" si="50"/>
        <v>0</v>
      </c>
    </row>
    <row r="44" spans="2:81">
      <c r="B44" s="227" t="s">
        <v>87</v>
      </c>
      <c r="C44" s="241"/>
      <c r="D44" s="241"/>
      <c r="E44" s="228"/>
      <c r="F44" s="228"/>
      <c r="G44" s="229"/>
      <c r="H44" s="229"/>
      <c r="I44" s="229"/>
      <c r="J44" s="229"/>
      <c r="K44" s="229"/>
      <c r="L44" s="229"/>
      <c r="M44" s="229"/>
      <c r="N44" s="229"/>
      <c r="O44" s="229"/>
      <c r="P44" s="229"/>
      <c r="Q44" s="229"/>
      <c r="R44" s="229"/>
      <c r="S44" s="228"/>
      <c r="T44" s="228"/>
      <c r="U44" s="228"/>
      <c r="V44" s="228"/>
      <c r="W44" s="228"/>
      <c r="X44" s="230"/>
      <c r="Y44" s="228"/>
      <c r="Z44" s="228"/>
      <c r="AA44" s="228"/>
      <c r="AB44" s="232"/>
      <c r="AC44" s="228"/>
      <c r="AD44" s="233"/>
      <c r="AE44" s="234">
        <f>SUM(AE33:AE43)</f>
        <v>0</v>
      </c>
      <c r="AF44" s="534">
        <f>IF(AE44&gt;0,SQRT(SUM(AG33:AG43))/AE44,0)</f>
        <v>0</v>
      </c>
      <c r="AG44" s="239"/>
      <c r="AH44" s="235"/>
      <c r="AI44" s="228"/>
      <c r="AJ44" s="236"/>
      <c r="AK44" s="228"/>
      <c r="AL44" s="237"/>
      <c r="AM44" s="234">
        <f>SUM(AM33:AM43)</f>
        <v>0</v>
      </c>
      <c r="AN44" s="534">
        <f>IF(AM44&gt;0,SQRT(SUM(AO33:AO43))/AM44,0)</f>
        <v>0</v>
      </c>
      <c r="AO44" s="239"/>
      <c r="AP44" s="228"/>
      <c r="AQ44" s="228"/>
      <c r="AR44" s="236"/>
      <c r="AS44" s="228"/>
      <c r="AT44" s="228"/>
      <c r="AU44" s="234">
        <f>SUM(AU33:AU43)</f>
        <v>0</v>
      </c>
      <c r="AV44" s="534">
        <f>IF(AU44&gt;0,SQRT(SUM(AW33:AW43))/AU44,0)</f>
        <v>0</v>
      </c>
      <c r="AW44" s="239"/>
      <c r="AX44" s="228"/>
      <c r="AY44" s="228"/>
      <c r="AZ44" s="236"/>
      <c r="BA44" s="228"/>
      <c r="BB44" s="234">
        <f>SUM(BB33:BB43)</f>
        <v>0</v>
      </c>
      <c r="BC44" s="534">
        <f>IF(BB44&gt;0,SQRT(SUM(BD33:BD43))/BB44,0)</f>
        <v>0</v>
      </c>
      <c r="BD44" s="239"/>
      <c r="BE44" s="228"/>
      <c r="BF44" s="228"/>
      <c r="BG44" s="236"/>
      <c r="BH44" s="228"/>
      <c r="BI44" s="234">
        <f>SUM(BI33:BI43)</f>
        <v>0</v>
      </c>
      <c r="BJ44" s="534">
        <f>IF(BI44&gt;0,SQRT(SUM(BK33:BK43))/BI44,0)</f>
        <v>0</v>
      </c>
      <c r="BK44" s="239"/>
      <c r="BL44" s="228"/>
      <c r="BM44" s="228"/>
      <c r="BN44" s="232"/>
      <c r="BO44" s="238"/>
      <c r="BP44" s="239"/>
      <c r="BQ44" s="234">
        <f>SUM(BQ33:BQ43)</f>
        <v>0</v>
      </c>
      <c r="BR44" s="534">
        <f>IF(BQ44&gt;0,SQRT(SUM(BS33:BS43))/BQ44,0)</f>
        <v>0</v>
      </c>
      <c r="BS44" s="239"/>
      <c r="BT44" s="228"/>
      <c r="BU44" s="228"/>
      <c r="BV44" s="232"/>
      <c r="BW44" s="238"/>
      <c r="BX44" s="234">
        <f>SUM(BX33:BX43)</f>
        <v>0</v>
      </c>
      <c r="BY44" s="534">
        <f>IF(BX44&gt;0,SQRT(SUM(BZ33:BZ43))/BX44,0)</f>
        <v>0</v>
      </c>
      <c r="BZ44" s="239"/>
      <c r="CA44" s="234">
        <f>SUM(CA33:CA43)</f>
        <v>0</v>
      </c>
      <c r="CB44" s="535">
        <f>IF(CA44&gt;0,SQRT(SUM(CC33:CC43))/CA44,0)</f>
        <v>0</v>
      </c>
      <c r="CC44" s="38">
        <f t="shared" si="50"/>
        <v>0</v>
      </c>
    </row>
    <row r="45" spans="2:81">
      <c r="B45" s="749" t="s">
        <v>99</v>
      </c>
      <c r="C45" s="217" t="s">
        <v>84</v>
      </c>
      <c r="D45" s="461"/>
      <c r="E45" s="240"/>
      <c r="F45" s="216">
        <f>VLOOKUP($E45,$CD$114:$DH$479,2,FALSE)</f>
        <v>0</v>
      </c>
      <c r="G45" s="214"/>
      <c r="H45" s="214"/>
      <c r="I45" s="214"/>
      <c r="J45" s="214"/>
      <c r="K45" s="214"/>
      <c r="L45" s="214"/>
      <c r="M45" s="214"/>
      <c r="N45" s="214"/>
      <c r="O45" s="214"/>
      <c r="P45" s="214"/>
      <c r="Q45" s="214"/>
      <c r="R45" s="214"/>
      <c r="S45" s="217">
        <f t="shared" ref="S45:S46" si="118">SUM(G45:R45)</f>
        <v>0</v>
      </c>
      <c r="T45" s="218">
        <f t="shared" ref="T45:T46" si="119">COUNT(G45:R45)</f>
        <v>0</v>
      </c>
      <c r="U45" s="217">
        <f t="shared" ref="U45:U46" si="120">IF(T45&gt;1,AVERAGE(G45:R45),0)</f>
        <v>0</v>
      </c>
      <c r="V45" s="217">
        <f t="shared" ref="V45:V46" si="121">IF(T45&gt;1,STDEV(G45:R45),0)</f>
        <v>0</v>
      </c>
      <c r="W45" s="217">
        <f>IF(T45&gt;1,VLOOKUP($T45,$CD$383:$CE$395,2,FALSE),0)</f>
        <v>0</v>
      </c>
      <c r="X45" s="219"/>
      <c r="Y45" s="536">
        <f>IF(X45&gt;0,X45,IF(T45&gt;1,1-((U45-((V45*W45)/(SQRT(T45))))/U45),VLOOKUP($E45,$CD$114:$DK$479,34,FALSE)))</f>
        <v>0.05</v>
      </c>
      <c r="Z45" s="220">
        <f>VLOOKUP($E45,$CD$114:$DH$479,3,FALSE)</f>
        <v>0</v>
      </c>
      <c r="AA45" s="221">
        <f>VLOOKUP($E45,$CD$114:$DH$479,4,FALSE)</f>
        <v>0</v>
      </c>
      <c r="AB45" s="537">
        <f>IF($S45&gt;0,VLOOKUP($E45,$CD$114:$DH$479,7,FALSE),0)</f>
        <v>0</v>
      </c>
      <c r="AC45" s="536">
        <f>IF($S45&gt;0,VLOOKUP($E45,$CD$114:$DH$479,6,FALSE),0)</f>
        <v>0</v>
      </c>
      <c r="AD45" s="538">
        <f t="shared" ref="AD45:AD46" si="122">($S45*Z45)/1000</f>
        <v>0</v>
      </c>
      <c r="AE45" s="538">
        <f>AD45*$CE$401</f>
        <v>0</v>
      </c>
      <c r="AF45" s="536">
        <f>IF(AD45&gt;0,SQRT(($Y45*$Y45)+(AC45*AC45)),0)</f>
        <v>0</v>
      </c>
      <c r="AG45" s="538">
        <f t="shared" ref="AG45:AG48" si="123">(AE45*AF45)^2</f>
        <v>0</v>
      </c>
      <c r="AH45" s="225">
        <v>0</v>
      </c>
      <c r="AI45" s="221">
        <v>0</v>
      </c>
      <c r="AJ45" s="537">
        <v>0</v>
      </c>
      <c r="AK45" s="536">
        <v>0</v>
      </c>
      <c r="AL45" s="540">
        <f t="shared" ref="AL45:AL46" si="124">($S45*AH45)/1000</f>
        <v>0</v>
      </c>
      <c r="AM45" s="540">
        <f>AL45*$CE$402</f>
        <v>0</v>
      </c>
      <c r="AN45" s="536">
        <f>IF(AL45&gt;0,SQRT(($Y45*$Y45)+(AK45*AK45)),0)</f>
        <v>0</v>
      </c>
      <c r="AO45" s="538">
        <f t="shared" ref="AO45:AO48" si="125">(AM45*AN45)^2</f>
        <v>0</v>
      </c>
      <c r="AP45" s="225">
        <v>0</v>
      </c>
      <c r="AQ45" s="221">
        <v>0</v>
      </c>
      <c r="AR45" s="537">
        <v>0</v>
      </c>
      <c r="AS45" s="536">
        <v>0</v>
      </c>
      <c r="AT45" s="540">
        <f>($S45*AP45)/1000</f>
        <v>0</v>
      </c>
      <c r="AU45" s="540">
        <f>AT45*$CE$403</f>
        <v>0</v>
      </c>
      <c r="AV45" s="536">
        <f>IF(AT45&gt;0,SQRT(($Y45*$Y45)+(AS45*AS45)),0)</f>
        <v>0</v>
      </c>
      <c r="AW45" s="538">
        <f t="shared" ref="AW45:AW48" si="126">(AU45*AV45)^2</f>
        <v>0</v>
      </c>
      <c r="AX45" s="223">
        <v>0</v>
      </c>
      <c r="AY45" s="221">
        <v>0</v>
      </c>
      <c r="AZ45" s="537">
        <v>0</v>
      </c>
      <c r="BA45" s="536">
        <v>0</v>
      </c>
      <c r="BB45" s="540">
        <f t="shared" ref="BB45:BB46" si="127">($S45*AX45)/1000</f>
        <v>0</v>
      </c>
      <c r="BC45" s="536">
        <f>IF(BB45&gt;0,SQRT(($Y45*$Y45)+(BA45*BA45)),0)</f>
        <v>0</v>
      </c>
      <c r="BD45" s="538">
        <f t="shared" ref="BD45:BD48" si="128">(BB45*BC45)^2</f>
        <v>0</v>
      </c>
      <c r="BE45" s="223">
        <v>0</v>
      </c>
      <c r="BF45" s="221">
        <v>0</v>
      </c>
      <c r="BG45" s="537">
        <v>0</v>
      </c>
      <c r="BH45" s="536">
        <v>0</v>
      </c>
      <c r="BI45" s="540">
        <f t="shared" ref="BI45:BI46" si="129">($S45*BE45)/1000</f>
        <v>0</v>
      </c>
      <c r="BJ45" s="536">
        <f>IF(BI45&gt;0,SQRT(($Y45*$Y45)+(BH45*BH45)),0)</f>
        <v>0</v>
      </c>
      <c r="BK45" s="538">
        <f t="shared" ref="BK45:BK48" si="130">(BI45*BJ45)^2</f>
        <v>0</v>
      </c>
      <c r="BL45" s="223">
        <v>0</v>
      </c>
      <c r="BM45" s="221">
        <v>0</v>
      </c>
      <c r="BN45" s="537">
        <v>0</v>
      </c>
      <c r="BO45" s="536">
        <v>0</v>
      </c>
      <c r="BP45" s="540">
        <f t="shared" ref="BP45:BP46" si="131">($S45*BL45)/1000</f>
        <v>0</v>
      </c>
      <c r="BQ45" s="540">
        <f>BP45*$CE$404</f>
        <v>0</v>
      </c>
      <c r="BR45" s="536">
        <f>IF(BP45&gt;0,SQRT(($Y45*$Y45)+(BO45*BO45)),0)</f>
        <v>0</v>
      </c>
      <c r="BS45" s="538">
        <f t="shared" ref="BS45:BS48" si="132">(BQ45*BR45)^2</f>
        <v>0</v>
      </c>
      <c r="BT45" s="223">
        <v>0</v>
      </c>
      <c r="BU45" s="221">
        <v>0</v>
      </c>
      <c r="BV45" s="537">
        <v>0</v>
      </c>
      <c r="BW45" s="536">
        <v>0</v>
      </c>
      <c r="BX45" s="540">
        <v>0</v>
      </c>
      <c r="BY45" s="536">
        <v>0</v>
      </c>
      <c r="BZ45" s="538">
        <f t="shared" ref="BZ45:BZ48" si="133">(BX45*BY45)^2</f>
        <v>0</v>
      </c>
      <c r="CA45" s="217">
        <f>IF(C45="EmisionesGEI",D45,AE45+AM45+AU45+BB45+BQ45)</f>
        <v>0</v>
      </c>
      <c r="CB45" s="541">
        <f>IF(CA45&gt;0,SQRT(AG45+AO45+AW45+BD45+BS45)/CA45,0)</f>
        <v>0</v>
      </c>
      <c r="CC45" s="38">
        <f t="shared" si="50"/>
        <v>0</v>
      </c>
    </row>
    <row r="46" spans="2:81">
      <c r="B46" s="750"/>
      <c r="C46" s="217" t="s">
        <v>84</v>
      </c>
      <c r="D46" s="461"/>
      <c r="E46" s="240"/>
      <c r="F46" s="216">
        <f>VLOOKUP($E46,$CD$114:$DH$479,2,FALSE)</f>
        <v>0</v>
      </c>
      <c r="G46" s="214"/>
      <c r="H46" s="214"/>
      <c r="I46" s="214"/>
      <c r="J46" s="214"/>
      <c r="K46" s="214"/>
      <c r="L46" s="214"/>
      <c r="M46" s="214"/>
      <c r="N46" s="214"/>
      <c r="O46" s="214"/>
      <c r="P46" s="214"/>
      <c r="Q46" s="214"/>
      <c r="R46" s="214"/>
      <c r="S46" s="217">
        <f t="shared" si="118"/>
        <v>0</v>
      </c>
      <c r="T46" s="218">
        <f t="shared" si="119"/>
        <v>0</v>
      </c>
      <c r="U46" s="217">
        <f t="shared" si="120"/>
        <v>0</v>
      </c>
      <c r="V46" s="217">
        <f t="shared" si="121"/>
        <v>0</v>
      </c>
      <c r="W46" s="217">
        <f>IF(T46&gt;1,VLOOKUP($T46,$CD$383:$CE$395,2,FALSE),0)</f>
        <v>0</v>
      </c>
      <c r="X46" s="219"/>
      <c r="Y46" s="536">
        <f>IF(X46&gt;0,X46,IF(T46&gt;1,1-((U46-((V46*W46)/(SQRT(T46))))/U46),VLOOKUP($E46,$CD$114:$DK$479,34,FALSE)))</f>
        <v>0.05</v>
      </c>
      <c r="Z46" s="220">
        <v>0</v>
      </c>
      <c r="AA46" s="221">
        <v>0</v>
      </c>
      <c r="AB46" s="537">
        <v>0</v>
      </c>
      <c r="AC46" s="536">
        <v>0</v>
      </c>
      <c r="AD46" s="538">
        <f t="shared" si="122"/>
        <v>0</v>
      </c>
      <c r="AE46" s="538">
        <f>AD46*$CE$401</f>
        <v>0</v>
      </c>
      <c r="AF46" s="536">
        <f>IF(AD46&gt;0,SQRT(($Y46*$Y46)+(AC46*AC46)),0)</f>
        <v>0</v>
      </c>
      <c r="AG46" s="538">
        <f t="shared" si="123"/>
        <v>0</v>
      </c>
      <c r="AH46" s="225">
        <v>0</v>
      </c>
      <c r="AI46" s="221">
        <v>0</v>
      </c>
      <c r="AJ46" s="537">
        <v>0</v>
      </c>
      <c r="AK46" s="536">
        <v>0</v>
      </c>
      <c r="AL46" s="540">
        <f t="shared" si="124"/>
        <v>0</v>
      </c>
      <c r="AM46" s="540">
        <f>AL46*$CE$402</f>
        <v>0</v>
      </c>
      <c r="AN46" s="536">
        <f>IF(AL46&gt;0,SQRT(($Y46*$Y46)+(AK46*AK46)),0)</f>
        <v>0</v>
      </c>
      <c r="AO46" s="538">
        <f t="shared" si="125"/>
        <v>0</v>
      </c>
      <c r="AP46" s="225">
        <v>0</v>
      </c>
      <c r="AQ46" s="221">
        <v>0</v>
      </c>
      <c r="AR46" s="537">
        <v>0</v>
      </c>
      <c r="AS46" s="536">
        <v>0</v>
      </c>
      <c r="AT46" s="540">
        <f>($S46*AP46)/1000</f>
        <v>0</v>
      </c>
      <c r="AU46" s="540">
        <f>AT46*$CE$403</f>
        <v>0</v>
      </c>
      <c r="AV46" s="536">
        <f>IF(AT46&gt;0,SQRT(($Y46*$Y46)+(AS46*AS46)),0)</f>
        <v>0</v>
      </c>
      <c r="AW46" s="538">
        <f t="shared" si="126"/>
        <v>0</v>
      </c>
      <c r="AX46" s="223">
        <f>VLOOKUP($E46,$CD$114:$DH$479,3,FALSE)</f>
        <v>0</v>
      </c>
      <c r="AY46" s="221">
        <f>VLOOKUP($E46,$CD$114:$DH$479,4,FALSE)</f>
        <v>0</v>
      </c>
      <c r="AZ46" s="537">
        <f>IF($S46&gt;0,VLOOKUP($E46,$CD$114:$DH$479,7,FALSE),0)</f>
        <v>0</v>
      </c>
      <c r="BA46" s="536">
        <f>IF($S46&gt;0,VLOOKUP($E46,$CD$114:$DH$479,6,FALSE),0)</f>
        <v>0</v>
      </c>
      <c r="BB46" s="540">
        <f t="shared" si="127"/>
        <v>0</v>
      </c>
      <c r="BC46" s="536">
        <f>IF(BB46&gt;0,SQRT(($Y46*$Y46)+(BA46*BA46)),0)</f>
        <v>0</v>
      </c>
      <c r="BD46" s="538">
        <f t="shared" si="128"/>
        <v>0</v>
      </c>
      <c r="BE46" s="223">
        <v>0</v>
      </c>
      <c r="BF46" s="221">
        <f>VLOOKUP($E46,$CD$114:$DH$479,4,FALSE)</f>
        <v>0</v>
      </c>
      <c r="BG46" s="537">
        <f>IF($S46&gt;0,VLOOKUP($E46,$CD$114:$DH$479,7,FALSE),0)</f>
        <v>0</v>
      </c>
      <c r="BH46" s="536">
        <f>IF($S46&gt;0,VLOOKUP($E46,$CD$114:$DH$479,6,FALSE),0)</f>
        <v>0</v>
      </c>
      <c r="BI46" s="540">
        <f t="shared" si="129"/>
        <v>0</v>
      </c>
      <c r="BJ46" s="536">
        <f>IF(BI46&gt;0,SQRT(($Y46*$Y46)+(BH46*BH46)),0)</f>
        <v>0</v>
      </c>
      <c r="BK46" s="538">
        <f t="shared" si="130"/>
        <v>0</v>
      </c>
      <c r="BL46" s="223">
        <v>0</v>
      </c>
      <c r="BM46" s="221">
        <v>0</v>
      </c>
      <c r="BN46" s="537">
        <v>0</v>
      </c>
      <c r="BO46" s="536">
        <v>0</v>
      </c>
      <c r="BP46" s="540">
        <f t="shared" si="131"/>
        <v>0</v>
      </c>
      <c r="BQ46" s="540">
        <f>BP46*$CE$404</f>
        <v>0</v>
      </c>
      <c r="BR46" s="536">
        <f>IF(BP46&gt;0,SQRT(($Y46*$Y46)+(BO46*BO46)),0)</f>
        <v>0</v>
      </c>
      <c r="BS46" s="538">
        <f t="shared" si="132"/>
        <v>0</v>
      </c>
      <c r="BT46" s="223">
        <v>0</v>
      </c>
      <c r="BU46" s="221">
        <v>0</v>
      </c>
      <c r="BV46" s="537">
        <v>0</v>
      </c>
      <c r="BW46" s="536">
        <v>0</v>
      </c>
      <c r="BX46" s="540">
        <v>0</v>
      </c>
      <c r="BY46" s="536">
        <v>0</v>
      </c>
      <c r="BZ46" s="538">
        <f t="shared" si="133"/>
        <v>0</v>
      </c>
      <c r="CA46" s="217">
        <f>IF(C46="EmisionesGEI",D46,AE46+AM46+AU46+BB46+BQ46)</f>
        <v>0</v>
      </c>
      <c r="CB46" s="541">
        <f>IF(CA46&gt;0,SQRT(AG46+AO46+AW46+BD46+BS46)/CA46,0)</f>
        <v>0</v>
      </c>
      <c r="CC46" s="38">
        <f t="shared" si="50"/>
        <v>0</v>
      </c>
    </row>
    <row r="47" spans="2:81" ht="15.4">
      <c r="B47" s="272" t="s">
        <v>89</v>
      </c>
      <c r="C47" s="273"/>
      <c r="D47" s="273"/>
      <c r="E47" s="228"/>
      <c r="F47" s="228"/>
      <c r="G47" s="228"/>
      <c r="H47" s="228"/>
      <c r="I47" s="228"/>
      <c r="J47" s="228"/>
      <c r="K47" s="228"/>
      <c r="L47" s="228"/>
      <c r="M47" s="228"/>
      <c r="N47" s="228"/>
      <c r="O47" s="228"/>
      <c r="P47" s="228"/>
      <c r="Q47" s="228"/>
      <c r="R47" s="228"/>
      <c r="S47" s="228"/>
      <c r="T47" s="228"/>
      <c r="U47" s="228"/>
      <c r="V47" s="228"/>
      <c r="W47" s="228"/>
      <c r="X47" s="230"/>
      <c r="Y47" s="228"/>
      <c r="Z47" s="228"/>
      <c r="AA47" s="228"/>
      <c r="AB47" s="232"/>
      <c r="AC47" s="228"/>
      <c r="AD47" s="233"/>
      <c r="AE47" s="234">
        <f>SUM(AE45:AE46)</f>
        <v>0</v>
      </c>
      <c r="AF47" s="534">
        <f>IF(AE47&gt;0,SQRT(SUM(AG45:AG46))/AE47,0)</f>
        <v>0</v>
      </c>
      <c r="AG47" s="234">
        <f t="shared" si="123"/>
        <v>0</v>
      </c>
      <c r="AH47" s="235"/>
      <c r="AI47" s="228"/>
      <c r="AJ47" s="236"/>
      <c r="AK47" s="228"/>
      <c r="AL47" s="237"/>
      <c r="AM47" s="234">
        <f>SUM(AM45:AM46)</f>
        <v>0</v>
      </c>
      <c r="AN47" s="534">
        <f>IF(AM47&gt;0,SQRT(SUM(AO45:AO46))/AM47,0)</f>
        <v>0</v>
      </c>
      <c r="AO47" s="234">
        <f t="shared" si="125"/>
        <v>0</v>
      </c>
      <c r="AP47" s="228"/>
      <c r="AQ47" s="228"/>
      <c r="AR47" s="236"/>
      <c r="AS47" s="228"/>
      <c r="AT47" s="228"/>
      <c r="AU47" s="234">
        <f>SUM(AU45:AU46)</f>
        <v>0</v>
      </c>
      <c r="AV47" s="534">
        <f>IF(AU47&gt;0,SQRT(SUM(AW45:AW46))/AU47,0)</f>
        <v>0</v>
      </c>
      <c r="AW47" s="234">
        <f t="shared" si="126"/>
        <v>0</v>
      </c>
      <c r="AX47" s="228"/>
      <c r="AY47" s="228"/>
      <c r="AZ47" s="236"/>
      <c r="BA47" s="228"/>
      <c r="BB47" s="234">
        <f>SUM(BB45:BB46)</f>
        <v>0</v>
      </c>
      <c r="BC47" s="534">
        <f>IF(BB47&gt;0,SQRT(SUM(BD45:BD46))/BB47,0)</f>
        <v>0</v>
      </c>
      <c r="BD47" s="234">
        <f t="shared" si="128"/>
        <v>0</v>
      </c>
      <c r="BE47" s="228"/>
      <c r="BF47" s="228"/>
      <c r="BG47" s="236"/>
      <c r="BH47" s="228"/>
      <c r="BI47" s="234">
        <f>SUM(BI45:BI46)</f>
        <v>0</v>
      </c>
      <c r="BJ47" s="534">
        <f>IF(BI47&gt;0,SQRT(SUM(BK45:BK46))/BI47,0)</f>
        <v>0</v>
      </c>
      <c r="BK47" s="234">
        <f t="shared" si="130"/>
        <v>0</v>
      </c>
      <c r="BL47" s="228"/>
      <c r="BM47" s="228"/>
      <c r="BN47" s="232"/>
      <c r="BO47" s="238"/>
      <c r="BP47" s="239"/>
      <c r="BQ47" s="234">
        <f>SUM(BQ45:BQ46)</f>
        <v>0</v>
      </c>
      <c r="BR47" s="534">
        <f>IF(BQ47&gt;0,SQRT(SUM(BS45:BS46))/BQ47,0)</f>
        <v>0</v>
      </c>
      <c r="BS47" s="234">
        <f t="shared" si="132"/>
        <v>0</v>
      </c>
      <c r="BT47" s="228"/>
      <c r="BU47" s="228"/>
      <c r="BV47" s="232"/>
      <c r="BW47" s="238"/>
      <c r="BX47" s="234">
        <f>SUM(BX45:BX46)</f>
        <v>0</v>
      </c>
      <c r="BY47" s="534">
        <f>IF(BX47&gt;0,SQRT(SUM(BZ45:BZ46))/BX47,0)</f>
        <v>0</v>
      </c>
      <c r="BZ47" s="234">
        <f t="shared" si="133"/>
        <v>0</v>
      </c>
      <c r="CA47" s="234">
        <f>SUM(CA45:CA46)</f>
        <v>0</v>
      </c>
      <c r="CB47" s="535">
        <f>IF(CA47&gt;0,SQRT(SUM(CC45:CC46))/CA47,0)</f>
        <v>0</v>
      </c>
      <c r="CC47" s="38">
        <f t="shared" si="50"/>
        <v>0</v>
      </c>
    </row>
    <row r="48" spans="2:81" ht="15.4">
      <c r="B48" s="242" t="s">
        <v>100</v>
      </c>
      <c r="C48" s="243"/>
      <c r="D48" s="243"/>
      <c r="E48" s="244"/>
      <c r="F48" s="244"/>
      <c r="G48" s="244"/>
      <c r="H48" s="244"/>
      <c r="I48" s="244"/>
      <c r="J48" s="244"/>
      <c r="K48" s="244"/>
      <c r="L48" s="244"/>
      <c r="M48" s="244"/>
      <c r="N48" s="244"/>
      <c r="O48" s="244"/>
      <c r="P48" s="244"/>
      <c r="Q48" s="244"/>
      <c r="R48" s="244"/>
      <c r="S48" s="244"/>
      <c r="T48" s="244"/>
      <c r="U48" s="244"/>
      <c r="V48" s="244"/>
      <c r="W48" s="244"/>
      <c r="X48" s="246"/>
      <c r="Y48" s="244"/>
      <c r="Z48" s="244"/>
      <c r="AA48" s="244"/>
      <c r="AB48" s="247"/>
      <c r="AC48" s="244"/>
      <c r="AD48" s="248"/>
      <c r="AE48" s="249">
        <f>+AE44+AE47</f>
        <v>0</v>
      </c>
      <c r="AF48" s="250">
        <f>IF(AE48&gt;0,(SQRT(AG44+AG47))/AE48,0)</f>
        <v>0</v>
      </c>
      <c r="AG48" s="249">
        <f t="shared" si="123"/>
        <v>0</v>
      </c>
      <c r="AH48" s="251"/>
      <c r="AI48" s="244"/>
      <c r="AJ48" s="252"/>
      <c r="AK48" s="244"/>
      <c r="AL48" s="253"/>
      <c r="AM48" s="249">
        <f>+AM44+AM47</f>
        <v>0</v>
      </c>
      <c r="AN48" s="250">
        <f>IF(AM48&gt;0,(SQRT(AO44+AO47))/AM48,0)</f>
        <v>0</v>
      </c>
      <c r="AO48" s="249">
        <f t="shared" si="125"/>
        <v>0</v>
      </c>
      <c r="AP48" s="244"/>
      <c r="AQ48" s="244"/>
      <c r="AR48" s="252"/>
      <c r="AS48" s="244"/>
      <c r="AT48" s="244"/>
      <c r="AU48" s="249">
        <f>+AU44+AU47</f>
        <v>0</v>
      </c>
      <c r="AV48" s="250">
        <f>IF(AU48&gt;0,(SQRT(AW44+AW47))/AU48,0)</f>
        <v>0</v>
      </c>
      <c r="AW48" s="249">
        <f t="shared" si="126"/>
        <v>0</v>
      </c>
      <c r="AX48" s="244"/>
      <c r="AY48" s="244"/>
      <c r="AZ48" s="252"/>
      <c r="BA48" s="244"/>
      <c r="BB48" s="249">
        <f>+BB44+BB47</f>
        <v>0</v>
      </c>
      <c r="BC48" s="250">
        <f>IF(BB48&gt;0,(SQRT(BD44+BD47))/BB48,0)</f>
        <v>0</v>
      </c>
      <c r="BD48" s="249">
        <f t="shared" si="128"/>
        <v>0</v>
      </c>
      <c r="BE48" s="244"/>
      <c r="BF48" s="244"/>
      <c r="BG48" s="252"/>
      <c r="BH48" s="244"/>
      <c r="BI48" s="249">
        <f>+BI44+BI47</f>
        <v>0</v>
      </c>
      <c r="BJ48" s="250">
        <f>IF(BI48&gt;0,(SQRT(BK44+BK47))/BI48,0)</f>
        <v>0</v>
      </c>
      <c r="BK48" s="249">
        <f t="shared" si="130"/>
        <v>0</v>
      </c>
      <c r="BL48" s="244"/>
      <c r="BM48" s="244"/>
      <c r="BN48" s="247"/>
      <c r="BO48" s="254"/>
      <c r="BP48" s="255"/>
      <c r="BQ48" s="249">
        <f>+BQ44+BQ47</f>
        <v>0</v>
      </c>
      <c r="BR48" s="250">
        <f>IF(BQ48&gt;0,(SQRT(BS44+BS47))/BQ48,0)</f>
        <v>0</v>
      </c>
      <c r="BS48" s="249">
        <f t="shared" si="132"/>
        <v>0</v>
      </c>
      <c r="BT48" s="244"/>
      <c r="BU48" s="244"/>
      <c r="BV48" s="247"/>
      <c r="BW48" s="254"/>
      <c r="BX48" s="249">
        <f>+BX44+BX47</f>
        <v>0</v>
      </c>
      <c r="BY48" s="250">
        <f>IF(BX48&gt;0,(SQRT(BZ44+BZ47))/BX48,0)</f>
        <v>0</v>
      </c>
      <c r="BZ48" s="249">
        <f t="shared" si="133"/>
        <v>0</v>
      </c>
      <c r="CA48" s="249">
        <f>+CA44+CA47</f>
        <v>0</v>
      </c>
      <c r="CB48" s="256">
        <f>IF(CA48&gt;0,(SQRT(CC44+CC47))/CA48,0)</f>
        <v>0</v>
      </c>
      <c r="CC48" s="38">
        <f t="shared" si="50"/>
        <v>0</v>
      </c>
    </row>
    <row r="49" spans="1:81" s="20" customFormat="1" ht="15.4">
      <c r="B49" s="257"/>
      <c r="C49" s="258"/>
      <c r="D49" s="258"/>
      <c r="E49" s="259"/>
      <c r="F49" s="259"/>
      <c r="G49" s="259"/>
      <c r="H49" s="259"/>
      <c r="I49" s="259"/>
      <c r="J49" s="259"/>
      <c r="K49" s="259"/>
      <c r="L49" s="259"/>
      <c r="M49" s="259"/>
      <c r="N49" s="259"/>
      <c r="O49" s="259"/>
      <c r="P49" s="259"/>
      <c r="Q49" s="259"/>
      <c r="R49" s="259"/>
      <c r="S49" s="259"/>
      <c r="T49" s="259"/>
      <c r="U49" s="259"/>
      <c r="V49" s="259"/>
      <c r="W49" s="259"/>
      <c r="X49" s="260"/>
      <c r="Y49" s="259"/>
      <c r="Z49" s="259"/>
      <c r="AA49" s="259"/>
      <c r="AB49" s="261"/>
      <c r="AC49" s="259"/>
      <c r="AD49" s="262"/>
      <c r="AE49" s="263"/>
      <c r="AF49" s="264"/>
      <c r="AG49" s="263"/>
      <c r="AH49" s="265"/>
      <c r="AI49" s="259"/>
      <c r="AJ49" s="266"/>
      <c r="AK49" s="259"/>
      <c r="AL49" s="267"/>
      <c r="AM49" s="263"/>
      <c r="AN49" s="264"/>
      <c r="AO49" s="263"/>
      <c r="AP49" s="259"/>
      <c r="AQ49" s="259"/>
      <c r="AR49" s="266"/>
      <c r="AS49" s="259"/>
      <c r="AT49" s="259"/>
      <c r="AU49" s="263"/>
      <c r="AV49" s="264"/>
      <c r="AW49" s="263"/>
      <c r="AX49" s="259"/>
      <c r="AY49" s="259"/>
      <c r="AZ49" s="266"/>
      <c r="BA49" s="259"/>
      <c r="BB49" s="263"/>
      <c r="BC49" s="264"/>
      <c r="BD49" s="263"/>
      <c r="BE49" s="259"/>
      <c r="BF49" s="259"/>
      <c r="BG49" s="266"/>
      <c r="BH49" s="259"/>
      <c r="BI49" s="263"/>
      <c r="BJ49" s="264"/>
      <c r="BK49" s="263"/>
      <c r="BL49" s="259"/>
      <c r="BM49" s="259"/>
      <c r="BN49" s="261"/>
      <c r="BO49" s="268"/>
      <c r="BP49" s="269"/>
      <c r="BQ49" s="263"/>
      <c r="BR49" s="264"/>
      <c r="BS49" s="263"/>
      <c r="BT49" s="259"/>
      <c r="BU49" s="259"/>
      <c r="BV49" s="261"/>
      <c r="BW49" s="268"/>
      <c r="BX49" s="263"/>
      <c r="BY49" s="264"/>
      <c r="BZ49" s="263"/>
      <c r="CA49" s="263"/>
      <c r="CB49" s="270"/>
      <c r="CC49" s="38"/>
    </row>
    <row r="50" spans="1:81" s="29" customFormat="1" ht="25.5" customHeight="1">
      <c r="A50" s="20"/>
      <c r="B50" s="753" t="s">
        <v>101</v>
      </c>
      <c r="C50" s="754"/>
      <c r="D50" s="754"/>
      <c r="E50" s="754"/>
      <c r="F50" s="754"/>
      <c r="G50" s="754"/>
      <c r="H50" s="754"/>
      <c r="I50" s="754"/>
      <c r="J50" s="754"/>
      <c r="K50" s="754"/>
      <c r="L50" s="754"/>
      <c r="M50" s="754"/>
      <c r="N50" s="754"/>
      <c r="O50" s="754"/>
      <c r="P50" s="754"/>
      <c r="Q50" s="754"/>
      <c r="R50" s="754"/>
      <c r="S50" s="754"/>
      <c r="T50" s="754"/>
      <c r="U50" s="754"/>
      <c r="V50" s="754"/>
      <c r="W50" s="754"/>
      <c r="X50" s="754"/>
      <c r="Y50" s="754"/>
      <c r="Z50" s="754"/>
      <c r="AA50" s="754"/>
      <c r="AB50" s="754"/>
      <c r="AC50" s="754"/>
      <c r="AD50" s="754"/>
      <c r="AE50" s="754"/>
      <c r="AF50" s="754"/>
      <c r="AG50" s="754"/>
      <c r="AH50" s="754"/>
      <c r="AI50" s="754"/>
      <c r="AJ50" s="754"/>
      <c r="AK50" s="754"/>
      <c r="AL50" s="754"/>
      <c r="AM50" s="754"/>
      <c r="AN50" s="754"/>
      <c r="AO50" s="754"/>
      <c r="AP50" s="754"/>
      <c r="AQ50" s="754"/>
      <c r="AR50" s="754"/>
      <c r="AS50" s="754"/>
      <c r="AT50" s="754"/>
      <c r="AU50" s="754"/>
      <c r="AV50" s="754"/>
      <c r="AW50" s="754"/>
      <c r="AX50" s="754"/>
      <c r="AY50" s="754"/>
      <c r="AZ50" s="754"/>
      <c r="BA50" s="754"/>
      <c r="BB50" s="754"/>
      <c r="BC50" s="754"/>
      <c r="BD50" s="754"/>
      <c r="BE50" s="754"/>
      <c r="BF50" s="754"/>
      <c r="BG50" s="754"/>
      <c r="BH50" s="754"/>
      <c r="BI50" s="754"/>
      <c r="BJ50" s="754"/>
      <c r="BK50" s="754"/>
      <c r="BL50" s="754"/>
      <c r="BM50" s="754"/>
      <c r="BN50" s="754"/>
      <c r="BO50" s="754"/>
      <c r="BP50" s="754"/>
      <c r="BQ50" s="754"/>
      <c r="BR50" s="754"/>
      <c r="BS50" s="754"/>
      <c r="BT50" s="754"/>
      <c r="BU50" s="754"/>
      <c r="BV50" s="754"/>
      <c r="BW50" s="754"/>
      <c r="BX50" s="754"/>
      <c r="BY50" s="754"/>
      <c r="BZ50" s="754"/>
      <c r="CA50" s="754"/>
      <c r="CB50" s="755"/>
      <c r="CC50" s="38"/>
    </row>
    <row r="51" spans="1:81" s="29" customFormat="1" ht="49.5" customHeight="1">
      <c r="A51" s="20"/>
      <c r="B51" s="747" t="s">
        <v>15</v>
      </c>
      <c r="C51" s="762" t="s">
        <v>16</v>
      </c>
      <c r="D51" s="762" t="s">
        <v>17</v>
      </c>
      <c r="E51" s="760" t="s">
        <v>18</v>
      </c>
      <c r="F51" s="760" t="s">
        <v>19</v>
      </c>
      <c r="G51" s="760"/>
      <c r="H51" s="760"/>
      <c r="I51" s="760"/>
      <c r="J51" s="760"/>
      <c r="K51" s="760"/>
      <c r="L51" s="760"/>
      <c r="M51" s="760"/>
      <c r="N51" s="760"/>
      <c r="O51" s="760"/>
      <c r="P51" s="760"/>
      <c r="Q51" s="760"/>
      <c r="R51" s="760"/>
      <c r="S51" s="760"/>
      <c r="T51" s="760"/>
      <c r="U51" s="760" t="s">
        <v>20</v>
      </c>
      <c r="V51" s="760"/>
      <c r="W51" s="760"/>
      <c r="X51" s="760"/>
      <c r="Y51" s="760"/>
      <c r="Z51" s="761" t="s">
        <v>21</v>
      </c>
      <c r="AA51" s="761"/>
      <c r="AB51" s="761"/>
      <c r="AC51" s="761"/>
      <c r="AD51" s="761"/>
      <c r="AE51" s="761"/>
      <c r="AF51" s="761"/>
      <c r="AG51" s="761"/>
      <c r="AH51" s="761" t="s">
        <v>22</v>
      </c>
      <c r="AI51" s="761"/>
      <c r="AJ51" s="761"/>
      <c r="AK51" s="761"/>
      <c r="AL51" s="761"/>
      <c r="AM51" s="761"/>
      <c r="AN51" s="761"/>
      <c r="AO51" s="761"/>
      <c r="AP51" s="761" t="s">
        <v>23</v>
      </c>
      <c r="AQ51" s="761"/>
      <c r="AR51" s="761"/>
      <c r="AS51" s="761"/>
      <c r="AT51" s="761"/>
      <c r="AU51" s="761"/>
      <c r="AV51" s="761"/>
      <c r="AW51" s="761"/>
      <c r="AX51" s="761" t="s">
        <v>24</v>
      </c>
      <c r="AY51" s="761"/>
      <c r="AZ51" s="761"/>
      <c r="BA51" s="761"/>
      <c r="BB51" s="761"/>
      <c r="BC51" s="761"/>
      <c r="BD51" s="761"/>
      <c r="BE51" s="761" t="s">
        <v>25</v>
      </c>
      <c r="BF51" s="761"/>
      <c r="BG51" s="761"/>
      <c r="BH51" s="761"/>
      <c r="BI51" s="761"/>
      <c r="BJ51" s="761"/>
      <c r="BK51" s="761"/>
      <c r="BL51" s="761" t="s">
        <v>26</v>
      </c>
      <c r="BM51" s="761"/>
      <c r="BN51" s="761"/>
      <c r="BO51" s="761"/>
      <c r="BP51" s="761"/>
      <c r="BQ51" s="761"/>
      <c r="BR51" s="761"/>
      <c r="BS51" s="761"/>
      <c r="BT51" s="761" t="s">
        <v>27</v>
      </c>
      <c r="BU51" s="761"/>
      <c r="BV51" s="761"/>
      <c r="BW51" s="761"/>
      <c r="BX51" s="761"/>
      <c r="BY51" s="761"/>
      <c r="BZ51" s="761"/>
      <c r="CA51" s="696" t="s">
        <v>102</v>
      </c>
      <c r="CB51" s="756" t="s">
        <v>29</v>
      </c>
      <c r="CC51" s="38"/>
    </row>
    <row r="52" spans="1:81" s="29" customFormat="1" ht="75" customHeight="1">
      <c r="A52" s="20"/>
      <c r="B52" s="748"/>
      <c r="C52" s="763"/>
      <c r="D52" s="763"/>
      <c r="E52" s="760"/>
      <c r="F52" s="207" t="s">
        <v>30</v>
      </c>
      <c r="G52" s="207" t="s">
        <v>31</v>
      </c>
      <c r="H52" s="207" t="s">
        <v>32</v>
      </c>
      <c r="I52" s="207" t="s">
        <v>33</v>
      </c>
      <c r="J52" s="207" t="s">
        <v>34</v>
      </c>
      <c r="K52" s="207" t="s">
        <v>35</v>
      </c>
      <c r="L52" s="207" t="s">
        <v>36</v>
      </c>
      <c r="M52" s="207" t="s">
        <v>37</v>
      </c>
      <c r="N52" s="207" t="s">
        <v>38</v>
      </c>
      <c r="O52" s="207" t="s">
        <v>39</v>
      </c>
      <c r="P52" s="207" t="s">
        <v>40</v>
      </c>
      <c r="Q52" s="207" t="s">
        <v>41</v>
      </c>
      <c r="R52" s="207" t="s">
        <v>42</v>
      </c>
      <c r="S52" s="207" t="s">
        <v>43</v>
      </c>
      <c r="T52" s="207" t="s">
        <v>44</v>
      </c>
      <c r="U52" s="207" t="s">
        <v>45</v>
      </c>
      <c r="V52" s="207" t="s">
        <v>46</v>
      </c>
      <c r="W52" s="207" t="s">
        <v>47</v>
      </c>
      <c r="X52" s="208" t="s">
        <v>48</v>
      </c>
      <c r="Y52" s="209" t="s">
        <v>20</v>
      </c>
      <c r="Z52" s="696" t="s">
        <v>49</v>
      </c>
      <c r="AA52" s="696"/>
      <c r="AB52" s="210" t="s">
        <v>50</v>
      </c>
      <c r="AC52" s="207" t="s">
        <v>51</v>
      </c>
      <c r="AD52" s="211" t="s">
        <v>52</v>
      </c>
      <c r="AE52" s="211" t="s">
        <v>52</v>
      </c>
      <c r="AF52" s="209" t="s">
        <v>53</v>
      </c>
      <c r="AG52" s="211" t="s">
        <v>54</v>
      </c>
      <c r="AH52" s="696" t="s">
        <v>55</v>
      </c>
      <c r="AI52" s="696"/>
      <c r="AJ52" s="210" t="s">
        <v>50</v>
      </c>
      <c r="AK52" s="209" t="s">
        <v>56</v>
      </c>
      <c r="AL52" s="212" t="s">
        <v>57</v>
      </c>
      <c r="AM52" s="212" t="s">
        <v>58</v>
      </c>
      <c r="AN52" s="209" t="s">
        <v>59</v>
      </c>
      <c r="AO52" s="211" t="s">
        <v>54</v>
      </c>
      <c r="AP52" s="696" t="s">
        <v>60</v>
      </c>
      <c r="AQ52" s="696"/>
      <c r="AR52" s="210" t="s">
        <v>50</v>
      </c>
      <c r="AS52" s="209" t="s">
        <v>61</v>
      </c>
      <c r="AT52" s="207" t="s">
        <v>62</v>
      </c>
      <c r="AU52" s="207" t="s">
        <v>63</v>
      </c>
      <c r="AV52" s="209" t="s">
        <v>64</v>
      </c>
      <c r="AW52" s="211" t="s">
        <v>54</v>
      </c>
      <c r="AX52" s="696" t="s">
        <v>65</v>
      </c>
      <c r="AY52" s="696"/>
      <c r="AZ52" s="210" t="s">
        <v>50</v>
      </c>
      <c r="BA52" s="209" t="s">
        <v>66</v>
      </c>
      <c r="BB52" s="211" t="s">
        <v>92</v>
      </c>
      <c r="BC52" s="209" t="s">
        <v>68</v>
      </c>
      <c r="BD52" s="211" t="s">
        <v>54</v>
      </c>
      <c r="BE52" s="696" t="s">
        <v>69</v>
      </c>
      <c r="BF52" s="696"/>
      <c r="BG52" s="210" t="s">
        <v>50</v>
      </c>
      <c r="BH52" s="209" t="s">
        <v>103</v>
      </c>
      <c r="BI52" s="211" t="s">
        <v>93</v>
      </c>
      <c r="BJ52" s="209" t="s">
        <v>72</v>
      </c>
      <c r="BK52" s="211" t="s">
        <v>54</v>
      </c>
      <c r="BL52" s="696" t="s">
        <v>73</v>
      </c>
      <c r="BM52" s="696"/>
      <c r="BN52" s="210" t="s">
        <v>50</v>
      </c>
      <c r="BO52" s="209" t="s">
        <v>74</v>
      </c>
      <c r="BP52" s="211" t="s">
        <v>94</v>
      </c>
      <c r="BQ52" s="211" t="s">
        <v>95</v>
      </c>
      <c r="BR52" s="209" t="s">
        <v>77</v>
      </c>
      <c r="BS52" s="211" t="s">
        <v>54</v>
      </c>
      <c r="BT52" s="696" t="s">
        <v>78</v>
      </c>
      <c r="BU52" s="696"/>
      <c r="BV52" s="210" t="s">
        <v>50</v>
      </c>
      <c r="BW52" s="209" t="s">
        <v>79</v>
      </c>
      <c r="BX52" s="211" t="s">
        <v>96</v>
      </c>
      <c r="BY52" s="209" t="s">
        <v>81</v>
      </c>
      <c r="BZ52" s="211" t="s">
        <v>54</v>
      </c>
      <c r="CA52" s="696"/>
      <c r="CB52" s="756"/>
      <c r="CC52" s="38" t="s">
        <v>82</v>
      </c>
    </row>
    <row r="53" spans="1:81" ht="15" customHeight="1">
      <c r="B53" s="213" t="s">
        <v>104</v>
      </c>
      <c r="C53" s="217" t="s">
        <v>84</v>
      </c>
      <c r="D53" s="461"/>
      <c r="E53" s="240"/>
      <c r="F53" s="216">
        <f t="shared" ref="F53:F58" si="134">VLOOKUP($E53,$CD$114:$DH$479,2,FALSE)</f>
        <v>0</v>
      </c>
      <c r="G53" s="214"/>
      <c r="H53" s="214"/>
      <c r="I53" s="214"/>
      <c r="J53" s="214"/>
      <c r="K53" s="214"/>
      <c r="L53" s="214"/>
      <c r="M53" s="214"/>
      <c r="N53" s="214"/>
      <c r="O53" s="214"/>
      <c r="P53" s="214"/>
      <c r="Q53" s="214"/>
      <c r="R53" s="214"/>
      <c r="S53" s="217">
        <f t="shared" ref="S53:S58" si="135">SUM(G53:R53)</f>
        <v>0</v>
      </c>
      <c r="T53" s="218">
        <f t="shared" ref="T53:T58" si="136">COUNT(G53:R53)</f>
        <v>0</v>
      </c>
      <c r="U53" s="217">
        <f t="shared" ref="U53:U58" si="137">IF(T53&gt;1,AVERAGE(G53:R53),0)</f>
        <v>0</v>
      </c>
      <c r="V53" s="217">
        <f t="shared" ref="V53:V58" si="138">IF(T53&gt;1,STDEV(G53:R53),0)</f>
        <v>0</v>
      </c>
      <c r="W53" s="217">
        <f t="shared" ref="W53:W58" si="139">IF(T53&gt;1,VLOOKUP($T53,$CD$383:$CE$395,2,FALSE),0)</f>
        <v>0</v>
      </c>
      <c r="X53" s="219"/>
      <c r="Y53" s="536">
        <f t="shared" ref="Y53:Y58" si="140">IF(X53&gt;0,X53,IF(T53&gt;1,1-((U53-((V53*W53)/(SQRT(T53))))/U53),VLOOKUP($E53,$CD$114:$DK$479,34,FALSE)))</f>
        <v>0.05</v>
      </c>
      <c r="Z53" s="220">
        <v>0</v>
      </c>
      <c r="AA53" s="221">
        <v>0</v>
      </c>
      <c r="AB53" s="537">
        <v>0</v>
      </c>
      <c r="AC53" s="536">
        <v>0</v>
      </c>
      <c r="AD53" s="538">
        <f t="shared" ref="AD53:AD58" si="141">($S53*Z53)/1000</f>
        <v>0</v>
      </c>
      <c r="AE53" s="538">
        <f t="shared" ref="AE53:AE58" si="142">AD53*$CE$401</f>
        <v>0</v>
      </c>
      <c r="AF53" s="536">
        <f t="shared" ref="AF53:AF58" si="143">IF(AD53&gt;0,SQRT(($Y53*$Y53)+(AC53*AC53)),0)</f>
        <v>0</v>
      </c>
      <c r="AG53" s="538">
        <f t="shared" ref="AG53:AG58" si="144">(AE53*AF53)^2</f>
        <v>0</v>
      </c>
      <c r="AH53" s="225">
        <v>0</v>
      </c>
      <c r="AI53" s="221">
        <v>0</v>
      </c>
      <c r="AJ53" s="537">
        <v>0</v>
      </c>
      <c r="AK53" s="536">
        <v>0</v>
      </c>
      <c r="AL53" s="540">
        <f t="shared" ref="AL53:AL58" si="145">($S53*AH53)/1000</f>
        <v>0</v>
      </c>
      <c r="AM53" s="540">
        <f t="shared" ref="AM53:AM58" si="146">AL53*$CE$402</f>
        <v>0</v>
      </c>
      <c r="AN53" s="536">
        <f t="shared" ref="AN53:AN58" si="147">IF(AL53&gt;0,SQRT(($Y53*$Y53)+(AK53*AK53)),0)</f>
        <v>0</v>
      </c>
      <c r="AO53" s="538">
        <f t="shared" ref="AO53:AO58" si="148">(AM53*AN53)^2</f>
        <v>0</v>
      </c>
      <c r="AP53" s="225">
        <v>0</v>
      </c>
      <c r="AQ53" s="221">
        <f>VLOOKUP($E53,$CD$114:$DH$479,28,FALSE)</f>
        <v>0</v>
      </c>
      <c r="AR53" s="537">
        <v>0</v>
      </c>
      <c r="AS53" s="536">
        <v>0</v>
      </c>
      <c r="AT53" s="540">
        <f t="shared" ref="AT53:AT58" si="149">($S53*AP53)/1000</f>
        <v>0</v>
      </c>
      <c r="AU53" s="540">
        <f t="shared" ref="AU53:AU58" si="150">AT53*$CE$403</f>
        <v>0</v>
      </c>
      <c r="AV53" s="536">
        <f t="shared" ref="AV53:AV58" si="151">IF(AT53&gt;0,SQRT(($Y53*$Y53)+(AS53*AS53)),0)</f>
        <v>0</v>
      </c>
      <c r="AW53" s="538">
        <f t="shared" ref="AW53:AW58" si="152">(AU53*AV53)^2</f>
        <v>0</v>
      </c>
      <c r="AX53" s="223">
        <f>VLOOKUP($E53,$CD$114:$DH$479,3,FALSE)</f>
        <v>0</v>
      </c>
      <c r="AY53" s="221">
        <f t="shared" ref="AY53:AY58" si="153">VLOOKUP($E53,$CD$114:$DH$479,4,FALSE)</f>
        <v>0</v>
      </c>
      <c r="AZ53" s="537">
        <f t="shared" ref="AZ53:AZ58" si="154">IF($S53&gt;0,VLOOKUP($E53,$CD$114:$DH$479,7,FALSE),0)</f>
        <v>0</v>
      </c>
      <c r="BA53" s="536">
        <f t="shared" ref="BA53:BA58" si="155">IF($S53&gt;0,VLOOKUP($E53,$CD$114:$DH$479,6,FALSE),0)</f>
        <v>0</v>
      </c>
      <c r="BB53" s="540">
        <f t="shared" ref="BB53:BB58" si="156">($S53*AX53)/1000</f>
        <v>0</v>
      </c>
      <c r="BC53" s="536">
        <f t="shared" ref="BC53:BC58" si="157">IF(BB53&gt;0,SQRT(($Y53*$Y53)+(BA53*BA53)),0)</f>
        <v>0</v>
      </c>
      <c r="BD53" s="538">
        <f t="shared" ref="BD53:BD58" si="158">(BB53*BC53)^2</f>
        <v>0</v>
      </c>
      <c r="BE53" s="223">
        <v>0</v>
      </c>
      <c r="BF53" s="221">
        <f t="shared" ref="BF53:BF58" si="159">VLOOKUP($E53,$CD$114:$DH$479,4,FALSE)</f>
        <v>0</v>
      </c>
      <c r="BG53" s="537">
        <f t="shared" ref="BG53:BG58" si="160">IF($S53&gt;0,VLOOKUP($E53,$CD$114:$DH$479,7,FALSE),0)</f>
        <v>0</v>
      </c>
      <c r="BH53" s="536">
        <f t="shared" ref="BH53:BH58" si="161">IF($S53&gt;0,VLOOKUP($E53,$CD$114:$DH$479,6,FALSE),0)</f>
        <v>0</v>
      </c>
      <c r="BI53" s="540">
        <f t="shared" ref="BI53:BI58" si="162">($S53*BE53)/1000</f>
        <v>0</v>
      </c>
      <c r="BJ53" s="536">
        <f t="shared" ref="BJ53:BJ58" si="163">IF(BI53&gt;0,SQRT(($Y53*$Y53)+(BH53*BH53)),0)</f>
        <v>0</v>
      </c>
      <c r="BK53" s="538">
        <f t="shared" ref="BK53:BK62" si="164">(BI53*BJ53)^2</f>
        <v>0</v>
      </c>
      <c r="BL53" s="223">
        <v>0</v>
      </c>
      <c r="BM53" s="221">
        <v>0</v>
      </c>
      <c r="BN53" s="537">
        <v>0</v>
      </c>
      <c r="BO53" s="536">
        <v>0</v>
      </c>
      <c r="BP53" s="540">
        <f t="shared" ref="BP53:BP58" si="165">($S53*BL53)/1000</f>
        <v>0</v>
      </c>
      <c r="BQ53" s="540">
        <f t="shared" ref="BQ53:BQ58" si="166">BP53*$CE$404</f>
        <v>0</v>
      </c>
      <c r="BR53" s="536">
        <f t="shared" ref="BR53:BR58" si="167">IF(BP53&gt;0,SQRT(($Y53*$Y53)+(BO53*BO53)),0)</f>
        <v>0</v>
      </c>
      <c r="BS53" s="538">
        <f t="shared" ref="BS53:BS58" si="168">(BQ53*BR53)^2</f>
        <v>0</v>
      </c>
      <c r="BT53" s="223">
        <v>0</v>
      </c>
      <c r="BU53" s="221">
        <v>0</v>
      </c>
      <c r="BV53" s="537">
        <v>0</v>
      </c>
      <c r="BW53" s="536">
        <v>0</v>
      </c>
      <c r="BX53" s="540">
        <v>0</v>
      </c>
      <c r="BY53" s="536">
        <v>0</v>
      </c>
      <c r="BZ53" s="538">
        <f t="shared" ref="BZ53:BZ59" si="169">(BX53*BY53)^2</f>
        <v>0</v>
      </c>
      <c r="CA53" s="217">
        <f t="shared" ref="CA53:CA58" si="170">IF(C53="EmisionesGEI",D53,AE53+AM53+AU53+BB53+BQ53)</f>
        <v>0</v>
      </c>
      <c r="CB53" s="541">
        <f t="shared" ref="CB53:CB58" si="171">IF(CA53&gt;0,SQRT(AG53+AO53+AW53+BD53+BS53)/CA53,0)</f>
        <v>0</v>
      </c>
      <c r="CC53" s="38">
        <f t="shared" ref="CC53:CC58" si="172">(CA53*CB53)^2</f>
        <v>0</v>
      </c>
    </row>
    <row r="54" spans="1:81">
      <c r="B54" s="274" t="s">
        <v>105</v>
      </c>
      <c r="C54" s="217" t="s">
        <v>84</v>
      </c>
      <c r="D54" s="461"/>
      <c r="E54" s="240"/>
      <c r="F54" s="216">
        <f t="shared" si="134"/>
        <v>0</v>
      </c>
      <c r="G54" s="214"/>
      <c r="H54" s="214"/>
      <c r="I54" s="214"/>
      <c r="J54" s="214"/>
      <c r="K54" s="214"/>
      <c r="L54" s="214"/>
      <c r="M54" s="214"/>
      <c r="N54" s="214"/>
      <c r="O54" s="214"/>
      <c r="P54" s="214"/>
      <c r="Q54" s="214"/>
      <c r="R54" s="214"/>
      <c r="S54" s="217">
        <f t="shared" si="135"/>
        <v>0</v>
      </c>
      <c r="T54" s="218">
        <f t="shared" si="136"/>
        <v>0</v>
      </c>
      <c r="U54" s="217">
        <f t="shared" si="137"/>
        <v>0</v>
      </c>
      <c r="V54" s="217">
        <f t="shared" si="138"/>
        <v>0</v>
      </c>
      <c r="W54" s="217">
        <f t="shared" si="139"/>
        <v>0</v>
      </c>
      <c r="X54" s="219"/>
      <c r="Y54" s="536">
        <f t="shared" si="140"/>
        <v>0.05</v>
      </c>
      <c r="Z54" s="220">
        <v>0</v>
      </c>
      <c r="AA54" s="221">
        <v>0</v>
      </c>
      <c r="AB54" s="537">
        <v>0</v>
      </c>
      <c r="AC54" s="536">
        <v>0</v>
      </c>
      <c r="AD54" s="538">
        <f t="shared" si="141"/>
        <v>0</v>
      </c>
      <c r="AE54" s="538">
        <f t="shared" si="142"/>
        <v>0</v>
      </c>
      <c r="AF54" s="536">
        <f t="shared" si="143"/>
        <v>0</v>
      </c>
      <c r="AG54" s="538">
        <f t="shared" si="144"/>
        <v>0</v>
      </c>
      <c r="AH54" s="225">
        <v>0</v>
      </c>
      <c r="AI54" s="221">
        <v>0</v>
      </c>
      <c r="AJ54" s="537">
        <v>0</v>
      </c>
      <c r="AK54" s="536">
        <v>0</v>
      </c>
      <c r="AL54" s="540">
        <f t="shared" si="145"/>
        <v>0</v>
      </c>
      <c r="AM54" s="540">
        <f t="shared" si="146"/>
        <v>0</v>
      </c>
      <c r="AN54" s="536">
        <f t="shared" si="147"/>
        <v>0</v>
      </c>
      <c r="AO54" s="538">
        <f t="shared" si="148"/>
        <v>0</v>
      </c>
      <c r="AP54" s="225">
        <v>0</v>
      </c>
      <c r="AQ54" s="221">
        <v>0</v>
      </c>
      <c r="AR54" s="537">
        <v>0</v>
      </c>
      <c r="AS54" s="536">
        <v>0</v>
      </c>
      <c r="AT54" s="540">
        <f t="shared" si="149"/>
        <v>0</v>
      </c>
      <c r="AU54" s="540">
        <f t="shared" si="150"/>
        <v>0</v>
      </c>
      <c r="AV54" s="536">
        <f t="shared" si="151"/>
        <v>0</v>
      </c>
      <c r="AW54" s="538">
        <f t="shared" si="152"/>
        <v>0</v>
      </c>
      <c r="AX54" s="223">
        <f>VLOOKUP($E54,$CD$114:$DH$479,3,FALSE)</f>
        <v>0</v>
      </c>
      <c r="AY54" s="221">
        <f t="shared" si="153"/>
        <v>0</v>
      </c>
      <c r="AZ54" s="537">
        <f t="shared" si="154"/>
        <v>0</v>
      </c>
      <c r="BA54" s="536">
        <f t="shared" si="155"/>
        <v>0</v>
      </c>
      <c r="BB54" s="540">
        <f t="shared" si="156"/>
        <v>0</v>
      </c>
      <c r="BC54" s="536">
        <f t="shared" si="157"/>
        <v>0</v>
      </c>
      <c r="BD54" s="538">
        <f t="shared" si="158"/>
        <v>0</v>
      </c>
      <c r="BE54" s="223">
        <v>0</v>
      </c>
      <c r="BF54" s="221">
        <f t="shared" si="159"/>
        <v>0</v>
      </c>
      <c r="BG54" s="537">
        <f t="shared" si="160"/>
        <v>0</v>
      </c>
      <c r="BH54" s="536">
        <f t="shared" si="161"/>
        <v>0</v>
      </c>
      <c r="BI54" s="540">
        <f t="shared" si="162"/>
        <v>0</v>
      </c>
      <c r="BJ54" s="536">
        <f t="shared" si="163"/>
        <v>0</v>
      </c>
      <c r="BK54" s="538">
        <f t="shared" si="164"/>
        <v>0</v>
      </c>
      <c r="BL54" s="223">
        <v>0</v>
      </c>
      <c r="BM54" s="221">
        <v>0</v>
      </c>
      <c r="BN54" s="537">
        <v>0</v>
      </c>
      <c r="BO54" s="536">
        <v>0</v>
      </c>
      <c r="BP54" s="540">
        <f t="shared" si="165"/>
        <v>0</v>
      </c>
      <c r="BQ54" s="540">
        <f t="shared" si="166"/>
        <v>0</v>
      </c>
      <c r="BR54" s="536">
        <f t="shared" si="167"/>
        <v>0</v>
      </c>
      <c r="BS54" s="538">
        <f t="shared" si="168"/>
        <v>0</v>
      </c>
      <c r="BT54" s="223">
        <v>0</v>
      </c>
      <c r="BU54" s="221">
        <v>0</v>
      </c>
      <c r="BV54" s="537">
        <v>0</v>
      </c>
      <c r="BW54" s="536">
        <v>0</v>
      </c>
      <c r="BX54" s="540">
        <v>0</v>
      </c>
      <c r="BY54" s="536">
        <v>0</v>
      </c>
      <c r="BZ54" s="538">
        <f t="shared" si="169"/>
        <v>0</v>
      </c>
      <c r="CA54" s="217">
        <f t="shared" si="170"/>
        <v>0</v>
      </c>
      <c r="CB54" s="541">
        <f t="shared" si="171"/>
        <v>0</v>
      </c>
      <c r="CC54" s="38">
        <f t="shared" si="172"/>
        <v>0</v>
      </c>
    </row>
    <row r="55" spans="1:81" ht="18.75" customHeight="1">
      <c r="B55" s="274" t="s">
        <v>106</v>
      </c>
      <c r="C55" s="217" t="s">
        <v>84</v>
      </c>
      <c r="D55" s="461"/>
      <c r="E55" s="240"/>
      <c r="F55" s="216">
        <f t="shared" si="134"/>
        <v>0</v>
      </c>
      <c r="G55" s="214"/>
      <c r="H55" s="214"/>
      <c r="I55" s="214"/>
      <c r="J55" s="214"/>
      <c r="K55" s="214"/>
      <c r="L55" s="214"/>
      <c r="M55" s="214"/>
      <c r="N55" s="214"/>
      <c r="O55" s="214"/>
      <c r="P55" s="214"/>
      <c r="Q55" s="214"/>
      <c r="R55" s="214"/>
      <c r="S55" s="217">
        <f t="shared" ref="S55:S56" si="173">SUM(G55:R55)</f>
        <v>0</v>
      </c>
      <c r="T55" s="218">
        <f t="shared" ref="T55:T56" si="174">COUNT(G55:R55)</f>
        <v>0</v>
      </c>
      <c r="U55" s="217">
        <f t="shared" ref="U55:U56" si="175">IF(T55&gt;1,AVERAGE(G55:R55),0)</f>
        <v>0</v>
      </c>
      <c r="V55" s="217">
        <f t="shared" ref="V55:V56" si="176">IF(T55&gt;1,STDEV(G55:R55),0)</f>
        <v>0</v>
      </c>
      <c r="W55" s="217">
        <f t="shared" si="139"/>
        <v>0</v>
      </c>
      <c r="X55" s="219"/>
      <c r="Y55" s="536">
        <f t="shared" si="140"/>
        <v>0.05</v>
      </c>
      <c r="Z55" s="220">
        <v>0</v>
      </c>
      <c r="AA55" s="221">
        <v>0</v>
      </c>
      <c r="AB55" s="537">
        <v>0</v>
      </c>
      <c r="AC55" s="536">
        <v>0</v>
      </c>
      <c r="AD55" s="538">
        <f t="shared" ref="AD55:AD56" si="177">($S55*Z55)/1000</f>
        <v>0</v>
      </c>
      <c r="AE55" s="538">
        <f t="shared" si="142"/>
        <v>0</v>
      </c>
      <c r="AF55" s="536">
        <f t="shared" si="143"/>
        <v>0</v>
      </c>
      <c r="AG55" s="538">
        <f t="shared" ref="AG55:AG56" si="178">(AE55*AF55)^2</f>
        <v>0</v>
      </c>
      <c r="AH55" s="225">
        <v>0</v>
      </c>
      <c r="AI55" s="221">
        <v>0</v>
      </c>
      <c r="AJ55" s="537">
        <v>0</v>
      </c>
      <c r="AK55" s="536">
        <v>0</v>
      </c>
      <c r="AL55" s="540">
        <f t="shared" ref="AL55:AL56" si="179">($S55*AH55)/1000</f>
        <v>0</v>
      </c>
      <c r="AM55" s="540">
        <f t="shared" si="146"/>
        <v>0</v>
      </c>
      <c r="AN55" s="536">
        <f t="shared" si="147"/>
        <v>0</v>
      </c>
      <c r="AO55" s="538">
        <f t="shared" ref="AO55:AO56" si="180">(AM55*AN55)^2</f>
        <v>0</v>
      </c>
      <c r="AP55" s="225">
        <v>0</v>
      </c>
      <c r="AQ55" s="221">
        <v>0</v>
      </c>
      <c r="AR55" s="537">
        <v>0</v>
      </c>
      <c r="AS55" s="536">
        <v>0</v>
      </c>
      <c r="AT55" s="540">
        <f t="shared" si="149"/>
        <v>0</v>
      </c>
      <c r="AU55" s="540">
        <f t="shared" si="150"/>
        <v>0</v>
      </c>
      <c r="AV55" s="536">
        <f t="shared" si="151"/>
        <v>0</v>
      </c>
      <c r="AW55" s="538">
        <f t="shared" ref="AW55:AW56" si="181">(AU55*AV55)^2</f>
        <v>0</v>
      </c>
      <c r="AX55" s="223">
        <f>VLOOKUP($E55,$CD$114:$DH$479,3,FALSE)</f>
        <v>0</v>
      </c>
      <c r="AY55" s="221">
        <f t="shared" si="153"/>
        <v>0</v>
      </c>
      <c r="AZ55" s="537">
        <f t="shared" si="154"/>
        <v>0</v>
      </c>
      <c r="BA55" s="536">
        <f t="shared" si="155"/>
        <v>0</v>
      </c>
      <c r="BB55" s="540">
        <f t="shared" ref="BB55:BB56" si="182">($S55*AX55)/1000</f>
        <v>0</v>
      </c>
      <c r="BC55" s="536">
        <f t="shared" si="157"/>
        <v>0</v>
      </c>
      <c r="BD55" s="538">
        <f t="shared" ref="BD55:BD56" si="183">(BB55*BC55)^2</f>
        <v>0</v>
      </c>
      <c r="BE55" s="223">
        <v>0</v>
      </c>
      <c r="BF55" s="221">
        <f t="shared" si="159"/>
        <v>0</v>
      </c>
      <c r="BG55" s="537">
        <f t="shared" si="160"/>
        <v>0</v>
      </c>
      <c r="BH55" s="536">
        <f t="shared" si="161"/>
        <v>0</v>
      </c>
      <c r="BI55" s="540">
        <f t="shared" ref="BI55:BI56" si="184">($S55*BE55)/1000</f>
        <v>0</v>
      </c>
      <c r="BJ55" s="536">
        <f t="shared" si="163"/>
        <v>0</v>
      </c>
      <c r="BK55" s="538">
        <f t="shared" ref="BK55:BK56" si="185">(BI55*BJ55)^2</f>
        <v>0</v>
      </c>
      <c r="BL55" s="223">
        <v>0</v>
      </c>
      <c r="BM55" s="221">
        <v>0</v>
      </c>
      <c r="BN55" s="537">
        <v>0</v>
      </c>
      <c r="BO55" s="536">
        <v>0</v>
      </c>
      <c r="BP55" s="540">
        <f t="shared" ref="BP55:BP56" si="186">($S55*BL55)/1000</f>
        <v>0</v>
      </c>
      <c r="BQ55" s="540">
        <f t="shared" si="166"/>
        <v>0</v>
      </c>
      <c r="BR55" s="536">
        <f t="shared" si="167"/>
        <v>0</v>
      </c>
      <c r="BS55" s="538">
        <f t="shared" ref="BS55:BS56" si="187">(BQ55*BR55)^2</f>
        <v>0</v>
      </c>
      <c r="BT55" s="223">
        <v>0</v>
      </c>
      <c r="BU55" s="221">
        <v>0</v>
      </c>
      <c r="BV55" s="537">
        <v>0</v>
      </c>
      <c r="BW55" s="536">
        <v>0</v>
      </c>
      <c r="BX55" s="540">
        <v>0</v>
      </c>
      <c r="BY55" s="536">
        <v>0</v>
      </c>
      <c r="BZ55" s="538">
        <f t="shared" ref="BZ55:BZ56" si="188">(BX55*BY55)^2</f>
        <v>0</v>
      </c>
      <c r="CA55" s="217">
        <f t="shared" si="170"/>
        <v>0</v>
      </c>
      <c r="CB55" s="541">
        <f t="shared" si="171"/>
        <v>0</v>
      </c>
      <c r="CC55" s="38">
        <f t="shared" ref="CC55:CC56" si="189">(CA55*CB55)^2</f>
        <v>0</v>
      </c>
    </row>
    <row r="56" spans="1:81">
      <c r="B56" s="274"/>
      <c r="C56" s="217" t="s">
        <v>84</v>
      </c>
      <c r="D56" s="461"/>
      <c r="E56" s="240"/>
      <c r="F56" s="216">
        <f t="shared" si="134"/>
        <v>0</v>
      </c>
      <c r="G56" s="214"/>
      <c r="H56" s="214"/>
      <c r="I56" s="214"/>
      <c r="J56" s="214"/>
      <c r="K56" s="214"/>
      <c r="L56" s="214"/>
      <c r="M56" s="214"/>
      <c r="N56" s="214"/>
      <c r="O56" s="214"/>
      <c r="P56" s="214"/>
      <c r="Q56" s="214"/>
      <c r="R56" s="214"/>
      <c r="S56" s="217">
        <f t="shared" si="173"/>
        <v>0</v>
      </c>
      <c r="T56" s="218">
        <f t="shared" si="174"/>
        <v>0</v>
      </c>
      <c r="U56" s="217">
        <f t="shared" si="175"/>
        <v>0</v>
      </c>
      <c r="V56" s="217">
        <f t="shared" si="176"/>
        <v>0</v>
      </c>
      <c r="W56" s="217">
        <f t="shared" si="139"/>
        <v>0</v>
      </c>
      <c r="X56" s="219"/>
      <c r="Y56" s="536">
        <f t="shared" si="140"/>
        <v>0.05</v>
      </c>
      <c r="Z56" s="220">
        <v>0</v>
      </c>
      <c r="AA56" s="221">
        <v>0</v>
      </c>
      <c r="AB56" s="537">
        <v>0</v>
      </c>
      <c r="AC56" s="536">
        <v>0</v>
      </c>
      <c r="AD56" s="538">
        <f t="shared" si="177"/>
        <v>0</v>
      </c>
      <c r="AE56" s="538">
        <f t="shared" si="142"/>
        <v>0</v>
      </c>
      <c r="AF56" s="536">
        <f t="shared" si="143"/>
        <v>0</v>
      </c>
      <c r="AG56" s="538">
        <f t="shared" si="178"/>
        <v>0</v>
      </c>
      <c r="AH56" s="225">
        <v>0</v>
      </c>
      <c r="AI56" s="221">
        <v>0</v>
      </c>
      <c r="AJ56" s="537">
        <v>0</v>
      </c>
      <c r="AK56" s="536">
        <v>0</v>
      </c>
      <c r="AL56" s="540">
        <f t="shared" si="179"/>
        <v>0</v>
      </c>
      <c r="AM56" s="540">
        <f t="shared" si="146"/>
        <v>0</v>
      </c>
      <c r="AN56" s="536">
        <f t="shared" si="147"/>
        <v>0</v>
      </c>
      <c r="AO56" s="538">
        <f t="shared" si="180"/>
        <v>0</v>
      </c>
      <c r="AP56" s="225">
        <v>0</v>
      </c>
      <c r="AQ56" s="221">
        <v>0</v>
      </c>
      <c r="AR56" s="537">
        <v>0</v>
      </c>
      <c r="AS56" s="536">
        <v>0</v>
      </c>
      <c r="AT56" s="540">
        <f t="shared" si="149"/>
        <v>0</v>
      </c>
      <c r="AU56" s="540">
        <f t="shared" si="150"/>
        <v>0</v>
      </c>
      <c r="AV56" s="536">
        <f t="shared" si="151"/>
        <v>0</v>
      </c>
      <c r="AW56" s="538">
        <f t="shared" si="181"/>
        <v>0</v>
      </c>
      <c r="AX56" s="223">
        <f>VLOOKUP($E56,$CD$114:$DH$479,3,FALSE)</f>
        <v>0</v>
      </c>
      <c r="AY56" s="221">
        <f t="shared" si="153"/>
        <v>0</v>
      </c>
      <c r="AZ56" s="537">
        <f t="shared" si="154"/>
        <v>0</v>
      </c>
      <c r="BA56" s="536">
        <f t="shared" si="155"/>
        <v>0</v>
      </c>
      <c r="BB56" s="540">
        <f t="shared" si="182"/>
        <v>0</v>
      </c>
      <c r="BC56" s="536">
        <f t="shared" si="157"/>
        <v>0</v>
      </c>
      <c r="BD56" s="538">
        <f t="shared" si="183"/>
        <v>0</v>
      </c>
      <c r="BE56" s="223">
        <v>0</v>
      </c>
      <c r="BF56" s="221">
        <f t="shared" si="159"/>
        <v>0</v>
      </c>
      <c r="BG56" s="537">
        <f t="shared" si="160"/>
        <v>0</v>
      </c>
      <c r="BH56" s="536">
        <f t="shared" si="161"/>
        <v>0</v>
      </c>
      <c r="BI56" s="540">
        <f t="shared" si="184"/>
        <v>0</v>
      </c>
      <c r="BJ56" s="536">
        <f t="shared" si="163"/>
        <v>0</v>
      </c>
      <c r="BK56" s="538">
        <f t="shared" si="185"/>
        <v>0</v>
      </c>
      <c r="BL56" s="223">
        <v>0</v>
      </c>
      <c r="BM56" s="221">
        <v>0</v>
      </c>
      <c r="BN56" s="537">
        <v>0</v>
      </c>
      <c r="BO56" s="536">
        <v>0</v>
      </c>
      <c r="BP56" s="540">
        <f t="shared" si="186"/>
        <v>0</v>
      </c>
      <c r="BQ56" s="540">
        <f t="shared" si="166"/>
        <v>0</v>
      </c>
      <c r="BR56" s="536">
        <f t="shared" si="167"/>
        <v>0</v>
      </c>
      <c r="BS56" s="538">
        <f t="shared" si="187"/>
        <v>0</v>
      </c>
      <c r="BT56" s="223">
        <v>0</v>
      </c>
      <c r="BU56" s="221">
        <v>0</v>
      </c>
      <c r="BV56" s="537">
        <v>0</v>
      </c>
      <c r="BW56" s="536">
        <v>0</v>
      </c>
      <c r="BX56" s="540">
        <v>0</v>
      </c>
      <c r="BY56" s="536">
        <v>0</v>
      </c>
      <c r="BZ56" s="538">
        <f t="shared" si="188"/>
        <v>0</v>
      </c>
      <c r="CA56" s="217">
        <f t="shared" si="170"/>
        <v>0</v>
      </c>
      <c r="CB56" s="541">
        <f t="shared" si="171"/>
        <v>0</v>
      </c>
      <c r="CC56" s="38">
        <f t="shared" si="189"/>
        <v>0</v>
      </c>
    </row>
    <row r="57" spans="1:81" ht="18.75" customHeight="1">
      <c r="B57" s="213" t="s">
        <v>107</v>
      </c>
      <c r="C57" s="217" t="s">
        <v>84</v>
      </c>
      <c r="D57" s="461"/>
      <c r="E57" s="240"/>
      <c r="F57" s="216">
        <f t="shared" si="134"/>
        <v>0</v>
      </c>
      <c r="G57" s="214"/>
      <c r="H57" s="214"/>
      <c r="I57" s="214"/>
      <c r="J57" s="214"/>
      <c r="K57" s="214"/>
      <c r="L57" s="214"/>
      <c r="M57" s="214"/>
      <c r="N57" s="214"/>
      <c r="O57" s="214"/>
      <c r="P57" s="214"/>
      <c r="Q57" s="214"/>
      <c r="R57" s="214"/>
      <c r="S57" s="217">
        <f t="shared" si="135"/>
        <v>0</v>
      </c>
      <c r="T57" s="218">
        <f t="shared" si="136"/>
        <v>0</v>
      </c>
      <c r="U57" s="217">
        <f t="shared" si="137"/>
        <v>0</v>
      </c>
      <c r="V57" s="217">
        <f t="shared" si="138"/>
        <v>0</v>
      </c>
      <c r="W57" s="217">
        <f t="shared" si="139"/>
        <v>0</v>
      </c>
      <c r="X57" s="219"/>
      <c r="Y57" s="536">
        <f t="shared" si="140"/>
        <v>0.05</v>
      </c>
      <c r="Z57" s="220">
        <v>0</v>
      </c>
      <c r="AA57" s="221">
        <v>0</v>
      </c>
      <c r="AB57" s="537">
        <v>0</v>
      </c>
      <c r="AC57" s="536">
        <v>0</v>
      </c>
      <c r="AD57" s="538">
        <f t="shared" si="141"/>
        <v>0</v>
      </c>
      <c r="AE57" s="538">
        <f t="shared" si="142"/>
        <v>0</v>
      </c>
      <c r="AF57" s="536">
        <f t="shared" si="143"/>
        <v>0</v>
      </c>
      <c r="AG57" s="538">
        <f t="shared" si="144"/>
        <v>0</v>
      </c>
      <c r="AH57" s="225">
        <v>0</v>
      </c>
      <c r="AI57" s="221">
        <v>0</v>
      </c>
      <c r="AJ57" s="537">
        <v>0</v>
      </c>
      <c r="AK57" s="536">
        <v>0</v>
      </c>
      <c r="AL57" s="540">
        <f t="shared" si="145"/>
        <v>0</v>
      </c>
      <c r="AM57" s="540">
        <f t="shared" si="146"/>
        <v>0</v>
      </c>
      <c r="AN57" s="536">
        <f t="shared" si="147"/>
        <v>0</v>
      </c>
      <c r="AO57" s="538">
        <f t="shared" si="148"/>
        <v>0</v>
      </c>
      <c r="AP57" s="225">
        <v>0</v>
      </c>
      <c r="AQ57" s="221">
        <v>0</v>
      </c>
      <c r="AR57" s="537">
        <v>0</v>
      </c>
      <c r="AS57" s="536">
        <v>0</v>
      </c>
      <c r="AT57" s="540">
        <f t="shared" si="149"/>
        <v>0</v>
      </c>
      <c r="AU57" s="540">
        <f t="shared" si="150"/>
        <v>0</v>
      </c>
      <c r="AV57" s="536">
        <f t="shared" si="151"/>
        <v>0</v>
      </c>
      <c r="AW57" s="538">
        <f t="shared" si="152"/>
        <v>0</v>
      </c>
      <c r="AX57" s="223">
        <v>0</v>
      </c>
      <c r="AY57" s="221">
        <f t="shared" si="153"/>
        <v>0</v>
      </c>
      <c r="AZ57" s="537">
        <f t="shared" si="154"/>
        <v>0</v>
      </c>
      <c r="BA57" s="536">
        <f t="shared" si="155"/>
        <v>0</v>
      </c>
      <c r="BB57" s="540">
        <f t="shared" si="156"/>
        <v>0</v>
      </c>
      <c r="BC57" s="536">
        <f t="shared" si="157"/>
        <v>0</v>
      </c>
      <c r="BD57" s="538">
        <f t="shared" si="158"/>
        <v>0</v>
      </c>
      <c r="BE57" s="223">
        <f>VLOOKUP($E57,$CD$114:$DH$479,3,FALSE)</f>
        <v>0</v>
      </c>
      <c r="BF57" s="221">
        <f t="shared" si="159"/>
        <v>0</v>
      </c>
      <c r="BG57" s="537">
        <f t="shared" si="160"/>
        <v>0</v>
      </c>
      <c r="BH57" s="536">
        <f t="shared" si="161"/>
        <v>0</v>
      </c>
      <c r="BI57" s="540">
        <f t="shared" si="162"/>
        <v>0</v>
      </c>
      <c r="BJ57" s="536">
        <f t="shared" si="163"/>
        <v>0</v>
      </c>
      <c r="BK57" s="538">
        <f t="shared" si="164"/>
        <v>0</v>
      </c>
      <c r="BL57" s="223">
        <v>0</v>
      </c>
      <c r="BM57" s="221">
        <v>0</v>
      </c>
      <c r="BN57" s="537">
        <v>0</v>
      </c>
      <c r="BO57" s="536">
        <v>0</v>
      </c>
      <c r="BP57" s="540">
        <f t="shared" si="165"/>
        <v>0</v>
      </c>
      <c r="BQ57" s="540">
        <f t="shared" si="166"/>
        <v>0</v>
      </c>
      <c r="BR57" s="536">
        <f t="shared" si="167"/>
        <v>0</v>
      </c>
      <c r="BS57" s="538">
        <f t="shared" si="168"/>
        <v>0</v>
      </c>
      <c r="BT57" s="223">
        <v>0</v>
      </c>
      <c r="BU57" s="221">
        <v>0</v>
      </c>
      <c r="BV57" s="537">
        <v>0</v>
      </c>
      <c r="BW57" s="536">
        <v>0</v>
      </c>
      <c r="BX57" s="540">
        <v>0</v>
      </c>
      <c r="BY57" s="536">
        <v>0</v>
      </c>
      <c r="BZ57" s="538">
        <f t="shared" si="169"/>
        <v>0</v>
      </c>
      <c r="CA57" s="217">
        <f t="shared" si="170"/>
        <v>0</v>
      </c>
      <c r="CB57" s="541">
        <f t="shared" si="171"/>
        <v>0</v>
      </c>
      <c r="CC57" s="38">
        <f t="shared" si="172"/>
        <v>0</v>
      </c>
    </row>
    <row r="58" spans="1:81">
      <c r="B58" s="275" t="s">
        <v>108</v>
      </c>
      <c r="C58" s="217" t="s">
        <v>84</v>
      </c>
      <c r="D58" s="461"/>
      <c r="E58" s="240"/>
      <c r="F58" s="216">
        <f t="shared" si="134"/>
        <v>0</v>
      </c>
      <c r="G58" s="214"/>
      <c r="H58" s="214"/>
      <c r="I58" s="214"/>
      <c r="J58" s="214"/>
      <c r="K58" s="214"/>
      <c r="L58" s="214"/>
      <c r="M58" s="214"/>
      <c r="N58" s="214"/>
      <c r="O58" s="214"/>
      <c r="P58" s="214"/>
      <c r="Q58" s="214"/>
      <c r="R58" s="214"/>
      <c r="S58" s="217">
        <f t="shared" si="135"/>
        <v>0</v>
      </c>
      <c r="T58" s="218">
        <f t="shared" si="136"/>
        <v>0</v>
      </c>
      <c r="U58" s="217">
        <f t="shared" si="137"/>
        <v>0</v>
      </c>
      <c r="V58" s="217">
        <f t="shared" si="138"/>
        <v>0</v>
      </c>
      <c r="W58" s="217">
        <f t="shared" si="139"/>
        <v>0</v>
      </c>
      <c r="X58" s="219"/>
      <c r="Y58" s="536">
        <f t="shared" si="140"/>
        <v>0.05</v>
      </c>
      <c r="Z58" s="220">
        <v>0</v>
      </c>
      <c r="AA58" s="221">
        <v>0</v>
      </c>
      <c r="AB58" s="537">
        <v>0</v>
      </c>
      <c r="AC58" s="536">
        <v>0</v>
      </c>
      <c r="AD58" s="538">
        <f t="shared" si="141"/>
        <v>0</v>
      </c>
      <c r="AE58" s="538">
        <f t="shared" si="142"/>
        <v>0</v>
      </c>
      <c r="AF58" s="536">
        <f t="shared" si="143"/>
        <v>0</v>
      </c>
      <c r="AG58" s="538">
        <f t="shared" si="144"/>
        <v>0</v>
      </c>
      <c r="AH58" s="225">
        <v>0</v>
      </c>
      <c r="AI58" s="221">
        <v>0</v>
      </c>
      <c r="AJ58" s="537">
        <v>0</v>
      </c>
      <c r="AK58" s="536">
        <v>0</v>
      </c>
      <c r="AL58" s="540">
        <f t="shared" si="145"/>
        <v>0</v>
      </c>
      <c r="AM58" s="540">
        <f t="shared" si="146"/>
        <v>0</v>
      </c>
      <c r="AN58" s="536">
        <f t="shared" si="147"/>
        <v>0</v>
      </c>
      <c r="AO58" s="538">
        <f t="shared" si="148"/>
        <v>0</v>
      </c>
      <c r="AP58" s="225">
        <v>0</v>
      </c>
      <c r="AQ58" s="221">
        <v>0</v>
      </c>
      <c r="AR58" s="537">
        <v>0</v>
      </c>
      <c r="AS58" s="536">
        <v>0</v>
      </c>
      <c r="AT58" s="540">
        <f t="shared" si="149"/>
        <v>0</v>
      </c>
      <c r="AU58" s="540">
        <f t="shared" si="150"/>
        <v>0</v>
      </c>
      <c r="AV58" s="536">
        <f t="shared" si="151"/>
        <v>0</v>
      </c>
      <c r="AW58" s="538">
        <f t="shared" si="152"/>
        <v>0</v>
      </c>
      <c r="AX58" s="223">
        <v>0</v>
      </c>
      <c r="AY58" s="221">
        <f t="shared" si="153"/>
        <v>0</v>
      </c>
      <c r="AZ58" s="537">
        <f t="shared" si="154"/>
        <v>0</v>
      </c>
      <c r="BA58" s="536">
        <f t="shared" si="155"/>
        <v>0</v>
      </c>
      <c r="BB58" s="540">
        <f t="shared" si="156"/>
        <v>0</v>
      </c>
      <c r="BC58" s="536">
        <f t="shared" si="157"/>
        <v>0</v>
      </c>
      <c r="BD58" s="538">
        <f t="shared" si="158"/>
        <v>0</v>
      </c>
      <c r="BE58" s="223">
        <f>VLOOKUP($E58,$CD$114:$DH$479,3,FALSE)</f>
        <v>0</v>
      </c>
      <c r="BF58" s="221">
        <f t="shared" si="159"/>
        <v>0</v>
      </c>
      <c r="BG58" s="537">
        <f t="shared" si="160"/>
        <v>0</v>
      </c>
      <c r="BH58" s="536">
        <f t="shared" si="161"/>
        <v>0</v>
      </c>
      <c r="BI58" s="540">
        <f t="shared" si="162"/>
        <v>0</v>
      </c>
      <c r="BJ58" s="536">
        <f t="shared" si="163"/>
        <v>0</v>
      </c>
      <c r="BK58" s="538">
        <f t="shared" si="164"/>
        <v>0</v>
      </c>
      <c r="BL58" s="223">
        <v>0</v>
      </c>
      <c r="BM58" s="221">
        <v>0</v>
      </c>
      <c r="BN58" s="537">
        <v>0</v>
      </c>
      <c r="BO58" s="536">
        <v>0</v>
      </c>
      <c r="BP58" s="540">
        <f t="shared" si="165"/>
        <v>0</v>
      </c>
      <c r="BQ58" s="540">
        <f t="shared" si="166"/>
        <v>0</v>
      </c>
      <c r="BR58" s="536">
        <f t="shared" si="167"/>
        <v>0</v>
      </c>
      <c r="BS58" s="538">
        <f t="shared" si="168"/>
        <v>0</v>
      </c>
      <c r="BT58" s="223">
        <v>0</v>
      </c>
      <c r="BU58" s="221">
        <v>0</v>
      </c>
      <c r="BV58" s="537">
        <v>0</v>
      </c>
      <c r="BW58" s="536">
        <v>0</v>
      </c>
      <c r="BX58" s="540">
        <v>0</v>
      </c>
      <c r="BY58" s="536">
        <v>0</v>
      </c>
      <c r="BZ58" s="538">
        <f t="shared" si="169"/>
        <v>0</v>
      </c>
      <c r="CA58" s="217">
        <f t="shared" si="170"/>
        <v>0</v>
      </c>
      <c r="CB58" s="541">
        <f t="shared" si="171"/>
        <v>0</v>
      </c>
      <c r="CC58" s="38">
        <f t="shared" si="172"/>
        <v>0</v>
      </c>
    </row>
    <row r="59" spans="1:81">
      <c r="B59" s="227" t="s">
        <v>109</v>
      </c>
      <c r="C59" s="228"/>
      <c r="D59" s="228"/>
      <c r="E59" s="228"/>
      <c r="F59" s="228"/>
      <c r="G59" s="229"/>
      <c r="H59" s="229"/>
      <c r="I59" s="229"/>
      <c r="J59" s="229"/>
      <c r="K59" s="229"/>
      <c r="L59" s="229"/>
      <c r="M59" s="229"/>
      <c r="N59" s="229"/>
      <c r="O59" s="229"/>
      <c r="P59" s="229"/>
      <c r="Q59" s="229"/>
      <c r="R59" s="229"/>
      <c r="S59" s="228"/>
      <c r="T59" s="228"/>
      <c r="U59" s="228"/>
      <c r="V59" s="228"/>
      <c r="W59" s="228"/>
      <c r="X59" s="230"/>
      <c r="Y59" s="228"/>
      <c r="Z59" s="231"/>
      <c r="AA59" s="228"/>
      <c r="AB59" s="232"/>
      <c r="AC59" s="228"/>
      <c r="AD59" s="233"/>
      <c r="AE59" s="234">
        <f>SUM(AE53:AE58)</f>
        <v>0</v>
      </c>
      <c r="AF59" s="534">
        <f>IF(AE59&gt;0,SQRT(SUM(AG53:AG58))/AE59,0)</f>
        <v>0</v>
      </c>
      <c r="AG59" s="234">
        <f t="shared" ref="AG59" si="190">(AE59*AF59)^2</f>
        <v>0</v>
      </c>
      <c r="AH59" s="235"/>
      <c r="AI59" s="228"/>
      <c r="AJ59" s="236"/>
      <c r="AK59" s="228"/>
      <c r="AL59" s="237"/>
      <c r="AM59" s="234">
        <f>SUM(AM53:AM58)</f>
        <v>0</v>
      </c>
      <c r="AN59" s="534">
        <f>IF(AM59&gt;0,SQRT(SUM(AO53:AO58))/AM59,0)</f>
        <v>0</v>
      </c>
      <c r="AO59" s="234">
        <f t="shared" ref="AO59" si="191">(AM59*AN59)^2</f>
        <v>0</v>
      </c>
      <c r="AP59" s="228"/>
      <c r="AQ59" s="228"/>
      <c r="AR59" s="236"/>
      <c r="AS59" s="228"/>
      <c r="AT59" s="228"/>
      <c r="AU59" s="234">
        <f>SUM(AU53:AU58)</f>
        <v>0</v>
      </c>
      <c r="AV59" s="534">
        <f>IF(AU59&gt;0,SQRT(SUM(AW53:AW58))/AU59,0)</f>
        <v>0</v>
      </c>
      <c r="AW59" s="234">
        <f t="shared" ref="AW59" si="192">(AU59*AV59)^2</f>
        <v>0</v>
      </c>
      <c r="AX59" s="228"/>
      <c r="AY59" s="228"/>
      <c r="AZ59" s="236"/>
      <c r="BA59" s="228"/>
      <c r="BB59" s="234">
        <f>SUM(BB53:BB58)</f>
        <v>0</v>
      </c>
      <c r="BC59" s="534">
        <f>IF(BB59&gt;0,SQRT(SUM(BD53:BD58))/BB59,0)</f>
        <v>0</v>
      </c>
      <c r="BD59" s="234">
        <f t="shared" ref="BD59" si="193">(BB59*BC59)^2</f>
        <v>0</v>
      </c>
      <c r="BE59" s="228"/>
      <c r="BF59" s="228"/>
      <c r="BG59" s="236"/>
      <c r="BH59" s="228"/>
      <c r="BI59" s="234">
        <f>SUM(BI53:BI58)</f>
        <v>0</v>
      </c>
      <c r="BJ59" s="534">
        <f>IF(BI59&gt;0,SQRT(SUM(BK53:BK58))/BI59,0)</f>
        <v>0</v>
      </c>
      <c r="BK59" s="234">
        <f t="shared" si="164"/>
        <v>0</v>
      </c>
      <c r="BL59" s="228"/>
      <c r="BM59" s="228"/>
      <c r="BN59" s="232"/>
      <c r="BO59" s="238"/>
      <c r="BP59" s="239"/>
      <c r="BQ59" s="234">
        <f>SUM(BQ53:BQ58)</f>
        <v>0</v>
      </c>
      <c r="BR59" s="534">
        <f>IF(BQ59&gt;0,SQRT(SUM(BS53:BS58))/BQ59,0)</f>
        <v>0</v>
      </c>
      <c r="BS59" s="234">
        <f t="shared" ref="BS59" si="194">(BQ59*BR59)^2</f>
        <v>0</v>
      </c>
      <c r="BT59" s="228"/>
      <c r="BU59" s="228"/>
      <c r="BV59" s="232"/>
      <c r="BW59" s="238"/>
      <c r="BX59" s="234">
        <f>SUM(BX53:BX58)</f>
        <v>0</v>
      </c>
      <c r="BY59" s="534">
        <f>IF(BX59&gt;0,SQRT(SUM(BZ53:BZ58))/BX59,0)</f>
        <v>0</v>
      </c>
      <c r="BZ59" s="234">
        <f t="shared" si="169"/>
        <v>0</v>
      </c>
      <c r="CA59" s="234">
        <f>SUM(CA53:CA58)</f>
        <v>0</v>
      </c>
      <c r="CB59" s="535">
        <f>IF(CA59&gt;0,SQRT(SUM(CC53:CC58))/CA59,0)</f>
        <v>0</v>
      </c>
      <c r="CC59" s="38">
        <f t="shared" ref="CC59" si="195">(CA59*CB59)^2</f>
        <v>0</v>
      </c>
    </row>
    <row r="60" spans="1:81" ht="15" customHeight="1">
      <c r="B60" s="213" t="s">
        <v>110</v>
      </c>
      <c r="C60" s="217" t="s">
        <v>84</v>
      </c>
      <c r="D60" s="461"/>
      <c r="E60" s="240"/>
      <c r="F60" s="216">
        <f>VLOOKUP($E60,$CD$114:$DH$479,2,FALSE)</f>
        <v>0</v>
      </c>
      <c r="G60" s="214"/>
      <c r="H60" s="214"/>
      <c r="I60" s="214"/>
      <c r="J60" s="214"/>
      <c r="K60" s="214"/>
      <c r="L60" s="214"/>
      <c r="M60" s="214"/>
      <c r="N60" s="214"/>
      <c r="O60" s="214"/>
      <c r="P60" s="214"/>
      <c r="Q60" s="214"/>
      <c r="R60" s="214"/>
      <c r="S60" s="217">
        <f t="shared" ref="S60:S62" si="196">SUM(G60:R60)</f>
        <v>0</v>
      </c>
      <c r="T60" s="218">
        <f t="shared" ref="T60:T62" si="197">COUNT(G60:R60)</f>
        <v>0</v>
      </c>
      <c r="U60" s="217">
        <f t="shared" ref="U60:U62" si="198">IF(T60&gt;1,AVERAGE(G60:R60),0)</f>
        <v>0</v>
      </c>
      <c r="V60" s="217">
        <f t="shared" ref="V60:V62" si="199">IF(T60&gt;1,STDEV(G60:R60),0)</f>
        <v>0</v>
      </c>
      <c r="W60" s="217">
        <f>IF(T60&gt;1,VLOOKUP($T60,$CD$383:$CE$395,2,FALSE),0)</f>
        <v>0</v>
      </c>
      <c r="X60" s="219"/>
      <c r="Y60" s="536">
        <f>IF(X60&gt;0,X60,IF(T60&gt;1,1-((U60-((V60*W60)/(SQRT(T60))))/U60),VLOOKUP($E60,$CD$114:$DK$479,34,FALSE)))</f>
        <v>0.05</v>
      </c>
      <c r="Z60" s="220">
        <v>0</v>
      </c>
      <c r="AA60" s="221">
        <v>0</v>
      </c>
      <c r="AB60" s="537">
        <v>0</v>
      </c>
      <c r="AC60" s="536">
        <v>0</v>
      </c>
      <c r="AD60" s="538">
        <f t="shared" ref="AD60:AD62" si="200">($S60*Z60)/1000</f>
        <v>0</v>
      </c>
      <c r="AE60" s="538">
        <f>AD60*$CE$401</f>
        <v>0</v>
      </c>
      <c r="AF60" s="536">
        <f>IF(AD60&gt;0,SQRT(($Y60*$Y60)+(AC60*AC60)),0)</f>
        <v>0</v>
      </c>
      <c r="AG60" s="538">
        <f t="shared" ref="AG60:AG62" si="201">(AE60*AF60)^2</f>
        <v>0</v>
      </c>
      <c r="AH60" s="225">
        <v>0</v>
      </c>
      <c r="AI60" s="221">
        <v>0</v>
      </c>
      <c r="AJ60" s="537">
        <v>0</v>
      </c>
      <c r="AK60" s="536">
        <v>0</v>
      </c>
      <c r="AL60" s="540">
        <f t="shared" ref="AL60:AL62" si="202">($S60*AH60)/1000</f>
        <v>0</v>
      </c>
      <c r="AM60" s="540">
        <f>AL60*$CE$402</f>
        <v>0</v>
      </c>
      <c r="AN60" s="536">
        <f>IF(AL60&gt;0,SQRT(($Y60*$Y60)+(AK60*AK60)),0)</f>
        <v>0</v>
      </c>
      <c r="AO60" s="538">
        <f t="shared" ref="AO60:AO62" si="203">(AM60*AN60)^2</f>
        <v>0</v>
      </c>
      <c r="AP60" s="225">
        <v>0</v>
      </c>
      <c r="AQ60" s="221">
        <f>VLOOKUP($E60,$CD$114:$DH$479,28,FALSE)</f>
        <v>0</v>
      </c>
      <c r="AR60" s="537">
        <v>0</v>
      </c>
      <c r="AS60" s="536">
        <v>0</v>
      </c>
      <c r="AT60" s="540">
        <f>($S60*AP60)/1000</f>
        <v>0</v>
      </c>
      <c r="AU60" s="540">
        <f>AT60*$CE$403</f>
        <v>0</v>
      </c>
      <c r="AV60" s="536">
        <f>IF(AT60&gt;0,SQRT(($Y60*$Y60)+(AS60*AS60)),0)</f>
        <v>0</v>
      </c>
      <c r="AW60" s="538">
        <f t="shared" ref="AW60:AW62" si="204">(AU60*AV60)^2</f>
        <v>0</v>
      </c>
      <c r="AX60" s="223">
        <f>VLOOKUP($E60,$CD$114:$DH$479,3,FALSE)</f>
        <v>0</v>
      </c>
      <c r="AY60" s="221">
        <f>VLOOKUP($E60,$CD$114:$DH$479,4,FALSE)</f>
        <v>0</v>
      </c>
      <c r="AZ60" s="537">
        <f>IF($S60&gt;0,VLOOKUP($E60,$CD$114:$DH$479,7,FALSE),0)</f>
        <v>0</v>
      </c>
      <c r="BA60" s="536">
        <f>IF($S60&gt;0,VLOOKUP($E60,$CD$114:$DH$479,6,FALSE),0)</f>
        <v>0</v>
      </c>
      <c r="BB60" s="540">
        <f t="shared" ref="BB60:BB62" si="205">($S60*AX60)/1000</f>
        <v>0</v>
      </c>
      <c r="BC60" s="536">
        <f>IF(BB60&gt;0,SQRT(($Y60*$Y60)+(BA60*BA60)),0)</f>
        <v>0</v>
      </c>
      <c r="BD60" s="538">
        <f t="shared" ref="BD60:BD62" si="206">(BB60*BC60)^2</f>
        <v>0</v>
      </c>
      <c r="BE60" s="223">
        <v>0</v>
      </c>
      <c r="BF60" s="221">
        <f>VLOOKUP($E60,$CD$114:$DH$479,4,FALSE)</f>
        <v>0</v>
      </c>
      <c r="BG60" s="537">
        <f>IF($S60&gt;0,VLOOKUP($E60,$CD$114:$DH$479,7,FALSE),0)</f>
        <v>0</v>
      </c>
      <c r="BH60" s="536">
        <f>IF($S60&gt;0,VLOOKUP($E60,$CD$114:$DH$479,6,FALSE),0)</f>
        <v>0</v>
      </c>
      <c r="BI60" s="540">
        <f t="shared" ref="BI60:BI62" si="207">($S60*BE60)/1000</f>
        <v>0</v>
      </c>
      <c r="BJ60" s="536">
        <f>IF(BI60&gt;0,SQRT(($Y60*$Y60)+(BH60*BH60)),0)</f>
        <v>0</v>
      </c>
      <c r="BK60" s="538">
        <f t="shared" si="164"/>
        <v>0</v>
      </c>
      <c r="BL60" s="223">
        <v>0</v>
      </c>
      <c r="BM60" s="221">
        <v>0</v>
      </c>
      <c r="BN60" s="537">
        <v>0</v>
      </c>
      <c r="BO60" s="536">
        <v>0</v>
      </c>
      <c r="BP60" s="540">
        <f t="shared" ref="BP60:BP62" si="208">($S60*BL60)/1000</f>
        <v>0</v>
      </c>
      <c r="BQ60" s="540">
        <f>BP60*$CE$404</f>
        <v>0</v>
      </c>
      <c r="BR60" s="536">
        <f>IF(BP60&gt;0,SQRT(($Y60*$Y60)+(BO60*BO60)),0)</f>
        <v>0</v>
      </c>
      <c r="BS60" s="538">
        <f t="shared" ref="BS60:BS62" si="209">(BQ60*BR60)^2</f>
        <v>0</v>
      </c>
      <c r="BT60" s="223">
        <v>0</v>
      </c>
      <c r="BU60" s="221">
        <v>0</v>
      </c>
      <c r="BV60" s="537">
        <v>0</v>
      </c>
      <c r="BW60" s="536">
        <v>0</v>
      </c>
      <c r="BX60" s="540">
        <v>0</v>
      </c>
      <c r="BY60" s="536">
        <v>0</v>
      </c>
      <c r="BZ60" s="538">
        <f t="shared" ref="BZ60:BZ62" si="210">(BX60*BY60)^2</f>
        <v>0</v>
      </c>
      <c r="CA60" s="217">
        <f>IF(C60="EmisionesGEI",D60,AE60+AM60+AU60+BB60+BQ60)</f>
        <v>0</v>
      </c>
      <c r="CB60" s="541">
        <f>IF(CA60&gt;0,SQRT(AG60+AO60+AW60+BD60+BS60)/CA60,0)</f>
        <v>0</v>
      </c>
      <c r="CC60" s="38">
        <f t="shared" ref="CC60:CC62" si="211">(CA60*CB60)^2</f>
        <v>0</v>
      </c>
    </row>
    <row r="61" spans="1:81">
      <c r="B61" s="274" t="s">
        <v>85</v>
      </c>
      <c r="C61" s="217" t="s">
        <v>84</v>
      </c>
      <c r="D61" s="461"/>
      <c r="E61" s="240"/>
      <c r="F61" s="216">
        <f>VLOOKUP($E61,$CD$114:$DH$479,2,FALSE)</f>
        <v>0</v>
      </c>
      <c r="G61" s="214"/>
      <c r="H61" s="214"/>
      <c r="I61" s="214"/>
      <c r="J61" s="214"/>
      <c r="K61" s="214"/>
      <c r="L61" s="214"/>
      <c r="M61" s="214"/>
      <c r="N61" s="214"/>
      <c r="O61" s="214"/>
      <c r="P61" s="214"/>
      <c r="Q61" s="214"/>
      <c r="R61" s="214"/>
      <c r="S61" s="217">
        <f t="shared" si="196"/>
        <v>0</v>
      </c>
      <c r="T61" s="218">
        <f t="shared" si="197"/>
        <v>0</v>
      </c>
      <c r="U61" s="217">
        <f t="shared" si="198"/>
        <v>0</v>
      </c>
      <c r="V61" s="217">
        <f t="shared" si="199"/>
        <v>0</v>
      </c>
      <c r="W61" s="217">
        <f>IF(T61&gt;1,VLOOKUP($T61,$CD$383:$CE$395,2,FALSE),0)</f>
        <v>0</v>
      </c>
      <c r="X61" s="219"/>
      <c r="Y61" s="536">
        <f>IF(X61&gt;0,X61,IF(T61&gt;1,1-((U61-((V61*W61)/(SQRT(T61))))/U61),VLOOKUP($E61,$CD$114:$DK$479,34,FALSE)))</f>
        <v>0.05</v>
      </c>
      <c r="Z61" s="220">
        <v>0</v>
      </c>
      <c r="AA61" s="221">
        <v>0</v>
      </c>
      <c r="AB61" s="537">
        <v>0</v>
      </c>
      <c r="AC61" s="536">
        <v>0</v>
      </c>
      <c r="AD61" s="538">
        <f t="shared" si="200"/>
        <v>0</v>
      </c>
      <c r="AE61" s="538">
        <f>AD61*$CE$401</f>
        <v>0</v>
      </c>
      <c r="AF61" s="536">
        <f>IF(AD61&gt;0,SQRT(($Y61*$Y61)+(AC61*AC61)),0)</f>
        <v>0</v>
      </c>
      <c r="AG61" s="538">
        <f t="shared" si="201"/>
        <v>0</v>
      </c>
      <c r="AH61" s="225">
        <v>0</v>
      </c>
      <c r="AI61" s="221">
        <v>0</v>
      </c>
      <c r="AJ61" s="537">
        <v>0</v>
      </c>
      <c r="AK61" s="536">
        <v>0</v>
      </c>
      <c r="AL61" s="540">
        <f t="shared" si="202"/>
        <v>0</v>
      </c>
      <c r="AM61" s="540">
        <f>AL61*$CE$402</f>
        <v>0</v>
      </c>
      <c r="AN61" s="536">
        <f>IF(AL61&gt;0,SQRT(($Y61*$Y61)+(AK61*AK61)),0)</f>
        <v>0</v>
      </c>
      <c r="AO61" s="538">
        <f t="shared" si="203"/>
        <v>0</v>
      </c>
      <c r="AP61" s="225">
        <v>0</v>
      </c>
      <c r="AQ61" s="221">
        <v>0</v>
      </c>
      <c r="AR61" s="537">
        <v>0</v>
      </c>
      <c r="AS61" s="536">
        <v>0</v>
      </c>
      <c r="AT61" s="540">
        <f>($S61*AP61)/1000</f>
        <v>0</v>
      </c>
      <c r="AU61" s="540">
        <f>AT61*$CE$403</f>
        <v>0</v>
      </c>
      <c r="AV61" s="536">
        <f>IF(AT61&gt;0,SQRT(($Y61*$Y61)+(AS61*AS61)),0)</f>
        <v>0</v>
      </c>
      <c r="AW61" s="538">
        <f t="shared" si="204"/>
        <v>0</v>
      </c>
      <c r="AX61" s="223">
        <f>VLOOKUP($E61,$CD$114:$DH$479,3,FALSE)</f>
        <v>0</v>
      </c>
      <c r="AY61" s="221">
        <f>VLOOKUP($E61,$CD$114:$DH$479,4,FALSE)</f>
        <v>0</v>
      </c>
      <c r="AZ61" s="537">
        <f>IF($S61&gt;0,VLOOKUP($E61,$CD$114:$DH$479,7,FALSE),0)</f>
        <v>0</v>
      </c>
      <c r="BA61" s="536">
        <f>IF($S61&gt;0,VLOOKUP($E61,$CD$114:$DH$479,6,FALSE),0)</f>
        <v>0</v>
      </c>
      <c r="BB61" s="540">
        <f t="shared" si="205"/>
        <v>0</v>
      </c>
      <c r="BC61" s="536">
        <f>IF(BB61&gt;0,SQRT(($Y61*$Y61)+(BA61*BA61)),0)</f>
        <v>0</v>
      </c>
      <c r="BD61" s="538">
        <f t="shared" si="206"/>
        <v>0</v>
      </c>
      <c r="BE61" s="223">
        <v>0</v>
      </c>
      <c r="BF61" s="221">
        <f>VLOOKUP($E61,$CD$114:$DH$479,4,FALSE)</f>
        <v>0</v>
      </c>
      <c r="BG61" s="537">
        <f>IF($S61&gt;0,VLOOKUP($E61,$CD$114:$DH$479,7,FALSE),0)</f>
        <v>0</v>
      </c>
      <c r="BH61" s="536">
        <f>IF($S61&gt;0,VLOOKUP($E61,$CD$114:$DH$479,6,FALSE),0)</f>
        <v>0</v>
      </c>
      <c r="BI61" s="540">
        <f t="shared" si="207"/>
        <v>0</v>
      </c>
      <c r="BJ61" s="536">
        <f>IF(BI61&gt;0,SQRT(($Y61*$Y61)+(BH61*BH61)),0)</f>
        <v>0</v>
      </c>
      <c r="BK61" s="538">
        <f t="shared" si="164"/>
        <v>0</v>
      </c>
      <c r="BL61" s="223">
        <v>0</v>
      </c>
      <c r="BM61" s="221">
        <v>0</v>
      </c>
      <c r="BN61" s="537">
        <v>0</v>
      </c>
      <c r="BO61" s="536">
        <v>0</v>
      </c>
      <c r="BP61" s="540">
        <f t="shared" si="208"/>
        <v>0</v>
      </c>
      <c r="BQ61" s="540">
        <f>BP61*$CE$404</f>
        <v>0</v>
      </c>
      <c r="BR61" s="536">
        <f>IF(BP61&gt;0,SQRT(($Y61*$Y61)+(BO61*BO61)),0)</f>
        <v>0</v>
      </c>
      <c r="BS61" s="538">
        <f t="shared" si="209"/>
        <v>0</v>
      </c>
      <c r="BT61" s="223">
        <v>0</v>
      </c>
      <c r="BU61" s="221">
        <v>0</v>
      </c>
      <c r="BV61" s="537">
        <v>0</v>
      </c>
      <c r="BW61" s="536">
        <v>0</v>
      </c>
      <c r="BX61" s="540">
        <v>0</v>
      </c>
      <c r="BY61" s="536">
        <v>0</v>
      </c>
      <c r="BZ61" s="538">
        <f t="shared" si="210"/>
        <v>0</v>
      </c>
      <c r="CA61" s="217">
        <f>IF(C61="EmisionesGEI",D61,AE61+AM61+AU61+BB61+BQ61)</f>
        <v>0</v>
      </c>
      <c r="CB61" s="541">
        <f>IF(CA61&gt;0,SQRT(AG61+AO61+AW61+BD61+BS61)/CA61,0)</f>
        <v>0</v>
      </c>
      <c r="CC61" s="38">
        <f t="shared" si="211"/>
        <v>0</v>
      </c>
    </row>
    <row r="62" spans="1:81">
      <c r="B62" s="274"/>
      <c r="C62" s="217" t="s">
        <v>84</v>
      </c>
      <c r="D62" s="461"/>
      <c r="E62" s="240"/>
      <c r="F62" s="216">
        <f>VLOOKUP($E62,$CD$114:$DH$479,2,FALSE)</f>
        <v>0</v>
      </c>
      <c r="G62" s="214"/>
      <c r="H62" s="214"/>
      <c r="I62" s="214"/>
      <c r="J62" s="214"/>
      <c r="K62" s="214"/>
      <c r="L62" s="214"/>
      <c r="M62" s="214"/>
      <c r="N62" s="214"/>
      <c r="O62" s="214"/>
      <c r="P62" s="214"/>
      <c r="Q62" s="214"/>
      <c r="R62" s="214"/>
      <c r="S62" s="217">
        <f t="shared" si="196"/>
        <v>0</v>
      </c>
      <c r="T62" s="218">
        <f t="shared" si="197"/>
        <v>0</v>
      </c>
      <c r="U62" s="217">
        <f t="shared" si="198"/>
        <v>0</v>
      </c>
      <c r="V62" s="217">
        <f t="shared" si="199"/>
        <v>0</v>
      </c>
      <c r="W62" s="217">
        <f>IF(T62&gt;1,VLOOKUP($T62,$CD$383:$CE$395,2,FALSE),0)</f>
        <v>0</v>
      </c>
      <c r="X62" s="219"/>
      <c r="Y62" s="536">
        <f>IF(X62&gt;0,X62,IF(T62&gt;1,1-((U62-((V62*W62)/(SQRT(T62))))/U62),VLOOKUP($E62,$CD$114:$DK$479,34,FALSE)))</f>
        <v>0.05</v>
      </c>
      <c r="Z62" s="220">
        <v>0</v>
      </c>
      <c r="AA62" s="221">
        <v>0</v>
      </c>
      <c r="AB62" s="537">
        <v>0</v>
      </c>
      <c r="AC62" s="536">
        <v>0</v>
      </c>
      <c r="AD62" s="538">
        <f t="shared" si="200"/>
        <v>0</v>
      </c>
      <c r="AE62" s="538">
        <f>AD62*$CE$401</f>
        <v>0</v>
      </c>
      <c r="AF62" s="536">
        <f>IF(AD62&gt;0,SQRT(($Y62*$Y62)+(AC62*AC62)),0)</f>
        <v>0</v>
      </c>
      <c r="AG62" s="538">
        <f t="shared" si="201"/>
        <v>0</v>
      </c>
      <c r="AH62" s="225">
        <v>0</v>
      </c>
      <c r="AI62" s="221">
        <v>0</v>
      </c>
      <c r="AJ62" s="537">
        <v>0</v>
      </c>
      <c r="AK62" s="536">
        <v>0</v>
      </c>
      <c r="AL62" s="540">
        <f t="shared" si="202"/>
        <v>0</v>
      </c>
      <c r="AM62" s="540">
        <f>AL62*$CE$402</f>
        <v>0</v>
      </c>
      <c r="AN62" s="536">
        <f>IF(AL62&gt;0,SQRT(($Y62*$Y62)+(AK62*AK62)),0)</f>
        <v>0</v>
      </c>
      <c r="AO62" s="538">
        <f t="shared" si="203"/>
        <v>0</v>
      </c>
      <c r="AP62" s="225">
        <v>0</v>
      </c>
      <c r="AQ62" s="221">
        <v>0</v>
      </c>
      <c r="AR62" s="537">
        <v>0</v>
      </c>
      <c r="AS62" s="536">
        <v>0</v>
      </c>
      <c r="AT62" s="540">
        <f>($S62*AP62)/1000</f>
        <v>0</v>
      </c>
      <c r="AU62" s="540">
        <f>AT62*$CE$403</f>
        <v>0</v>
      </c>
      <c r="AV62" s="536">
        <f>IF(AT62&gt;0,SQRT(($Y62*$Y62)+(AS62*AS62)),0)</f>
        <v>0</v>
      </c>
      <c r="AW62" s="538">
        <f t="shared" si="204"/>
        <v>0</v>
      </c>
      <c r="AX62" s="223">
        <f>VLOOKUP($E62,$CD$114:$DH$479,3,FALSE)</f>
        <v>0</v>
      </c>
      <c r="AY62" s="221">
        <f>VLOOKUP($E62,$CD$114:$DH$479,4,FALSE)</f>
        <v>0</v>
      </c>
      <c r="AZ62" s="537">
        <f>IF($S62&gt;0,VLOOKUP($E62,$CD$114:$DH$479,7,FALSE),0)</f>
        <v>0</v>
      </c>
      <c r="BA62" s="536">
        <f>IF($S62&gt;0,VLOOKUP($E62,$CD$114:$DH$479,6,FALSE),0)</f>
        <v>0</v>
      </c>
      <c r="BB62" s="540">
        <f t="shared" si="205"/>
        <v>0</v>
      </c>
      <c r="BC62" s="536">
        <f>IF(BB62&gt;0,SQRT(($Y62*$Y62)+(BA62*BA62)),0)</f>
        <v>0</v>
      </c>
      <c r="BD62" s="538">
        <f t="shared" si="206"/>
        <v>0</v>
      </c>
      <c r="BE62" s="223">
        <v>0</v>
      </c>
      <c r="BF62" s="221">
        <f>VLOOKUP($E62,$CD$114:$DH$479,4,FALSE)</f>
        <v>0</v>
      </c>
      <c r="BG62" s="537">
        <f>IF($S62&gt;0,VLOOKUP($E62,$CD$114:$DH$479,7,FALSE),0)</f>
        <v>0</v>
      </c>
      <c r="BH62" s="536">
        <f>IF($S62&gt;0,VLOOKUP($E62,$CD$114:$DH$479,6,FALSE),0)</f>
        <v>0</v>
      </c>
      <c r="BI62" s="540">
        <f t="shared" si="207"/>
        <v>0</v>
      </c>
      <c r="BJ62" s="536">
        <f>IF(BI62&gt;0,SQRT(($Y62*$Y62)+(BH62*BH62)),0)</f>
        <v>0</v>
      </c>
      <c r="BK62" s="538">
        <f t="shared" si="164"/>
        <v>0</v>
      </c>
      <c r="BL62" s="223">
        <v>0</v>
      </c>
      <c r="BM62" s="221">
        <v>0</v>
      </c>
      <c r="BN62" s="537">
        <v>0</v>
      </c>
      <c r="BO62" s="536">
        <v>0</v>
      </c>
      <c r="BP62" s="540">
        <f t="shared" si="208"/>
        <v>0</v>
      </c>
      <c r="BQ62" s="540">
        <f>BP62*$CE$404</f>
        <v>0</v>
      </c>
      <c r="BR62" s="536">
        <f>IF(BP62&gt;0,SQRT(($Y62*$Y62)+(BO62*BO62)),0)</f>
        <v>0</v>
      </c>
      <c r="BS62" s="538">
        <f t="shared" si="209"/>
        <v>0</v>
      </c>
      <c r="BT62" s="223">
        <v>0</v>
      </c>
      <c r="BU62" s="221">
        <v>0</v>
      </c>
      <c r="BV62" s="537">
        <v>0</v>
      </c>
      <c r="BW62" s="536">
        <v>0</v>
      </c>
      <c r="BX62" s="540">
        <v>0</v>
      </c>
      <c r="BY62" s="536">
        <v>0</v>
      </c>
      <c r="BZ62" s="538">
        <f t="shared" si="210"/>
        <v>0</v>
      </c>
      <c r="CA62" s="217">
        <f>IF(C62="EmisionesGEI",D62,AE62+AM62+AU62+BB62+BQ62)</f>
        <v>0</v>
      </c>
      <c r="CB62" s="541">
        <f>IF(CA62&gt;0,SQRT(AG62+AO62+AW62+BD62+BS62)/CA62,0)</f>
        <v>0</v>
      </c>
      <c r="CC62" s="38">
        <f t="shared" si="211"/>
        <v>0</v>
      </c>
    </row>
    <row r="63" spans="1:81">
      <c r="B63" s="274"/>
      <c r="C63" s="217" t="s">
        <v>84</v>
      </c>
      <c r="D63" s="461"/>
      <c r="E63" s="240"/>
      <c r="F63" s="216"/>
      <c r="G63" s="214"/>
      <c r="H63" s="214"/>
      <c r="I63" s="214"/>
      <c r="J63" s="214"/>
      <c r="K63" s="214"/>
      <c r="L63" s="214"/>
      <c r="M63" s="214"/>
      <c r="N63" s="214"/>
      <c r="O63" s="214"/>
      <c r="P63" s="214"/>
      <c r="Q63" s="214"/>
      <c r="R63" s="214"/>
      <c r="S63" s="217"/>
      <c r="T63" s="218"/>
      <c r="U63" s="217"/>
      <c r="V63" s="217"/>
      <c r="W63" s="217"/>
      <c r="X63" s="219"/>
      <c r="Y63" s="536"/>
      <c r="Z63" s="220"/>
      <c r="AA63" s="221"/>
      <c r="AB63" s="537"/>
      <c r="AC63" s="536"/>
      <c r="AD63" s="538"/>
      <c r="AE63" s="538"/>
      <c r="AF63" s="536"/>
      <c r="AG63" s="538"/>
      <c r="AH63" s="225"/>
      <c r="AI63" s="221"/>
      <c r="AJ63" s="537"/>
      <c r="AK63" s="536"/>
      <c r="AL63" s="540"/>
      <c r="AM63" s="540"/>
      <c r="AN63" s="536"/>
      <c r="AO63" s="538"/>
      <c r="AP63" s="225"/>
      <c r="AQ63" s="221"/>
      <c r="AR63" s="537"/>
      <c r="AS63" s="536"/>
      <c r="AT63" s="540"/>
      <c r="AU63" s="540"/>
      <c r="AV63" s="536"/>
      <c r="AW63" s="538"/>
      <c r="AX63" s="223"/>
      <c r="AY63" s="221"/>
      <c r="AZ63" s="537"/>
      <c r="BA63" s="536"/>
      <c r="BB63" s="540"/>
      <c r="BC63" s="536"/>
      <c r="BD63" s="538"/>
      <c r="BE63" s="223"/>
      <c r="BF63" s="221"/>
      <c r="BG63" s="537"/>
      <c r="BH63" s="536"/>
      <c r="BI63" s="540"/>
      <c r="BJ63" s="536"/>
      <c r="BK63" s="538"/>
      <c r="BL63" s="223"/>
      <c r="BM63" s="221"/>
      <c r="BN63" s="537"/>
      <c r="BO63" s="536"/>
      <c r="BP63" s="540"/>
      <c r="BQ63" s="540"/>
      <c r="BR63" s="536"/>
      <c r="BS63" s="538"/>
      <c r="BT63" s="223"/>
      <c r="BU63" s="221"/>
      <c r="BV63" s="537"/>
      <c r="BW63" s="536"/>
      <c r="BX63" s="540"/>
      <c r="BY63" s="536"/>
      <c r="BZ63" s="538"/>
      <c r="CA63" s="217"/>
      <c r="CB63" s="541"/>
    </row>
    <row r="64" spans="1:81">
      <c r="B64" s="227" t="s">
        <v>111</v>
      </c>
      <c r="C64" s="241"/>
      <c r="D64" s="241"/>
      <c r="E64" s="228"/>
      <c r="F64" s="228"/>
      <c r="G64" s="229"/>
      <c r="H64" s="229"/>
      <c r="I64" s="229"/>
      <c r="J64" s="229"/>
      <c r="K64" s="229"/>
      <c r="L64" s="229"/>
      <c r="M64" s="229"/>
      <c r="N64" s="229"/>
      <c r="O64" s="229"/>
      <c r="P64" s="229"/>
      <c r="Q64" s="229"/>
      <c r="R64" s="229"/>
      <c r="S64" s="228"/>
      <c r="T64" s="228"/>
      <c r="U64" s="228"/>
      <c r="V64" s="228"/>
      <c r="W64" s="228"/>
      <c r="X64" s="230"/>
      <c r="Y64" s="228"/>
      <c r="Z64" s="228"/>
      <c r="AA64" s="228"/>
      <c r="AB64" s="232"/>
      <c r="AC64" s="228"/>
      <c r="AD64" s="233"/>
      <c r="AE64" s="234">
        <f>SUM(AE60:AE63)</f>
        <v>0</v>
      </c>
      <c r="AF64" s="534">
        <f>IF(AE64&gt;0,SQRT(SUM(AG60:AG63))/AE64,0)</f>
        <v>0</v>
      </c>
      <c r="AG64" s="234">
        <f t="shared" ref="AG64" si="212">(AE64*AF64)^2</f>
        <v>0</v>
      </c>
      <c r="AH64" s="235"/>
      <c r="AI64" s="228"/>
      <c r="AJ64" s="236"/>
      <c r="AK64" s="228"/>
      <c r="AL64" s="237"/>
      <c r="AM64" s="234">
        <f>SUM(AM60:AM63)</f>
        <v>0</v>
      </c>
      <c r="AN64" s="534">
        <f>IF(AM64&gt;0,SQRT(SUM(AO60:AO63))/AM64,0)</f>
        <v>0</v>
      </c>
      <c r="AO64" s="234">
        <f t="shared" ref="AO64:AO73" si="213">(AM64*AN64)^2</f>
        <v>0</v>
      </c>
      <c r="AP64" s="228"/>
      <c r="AQ64" s="228"/>
      <c r="AR64" s="236"/>
      <c r="AS64" s="228"/>
      <c r="AT64" s="228"/>
      <c r="AU64" s="234">
        <f>SUM(AU60:AU63)</f>
        <v>0</v>
      </c>
      <c r="AV64" s="534">
        <f>IF(AU64&gt;0,SQRT(SUM(AW60:AW63))/AU64,0)</f>
        <v>0</v>
      </c>
      <c r="AW64" s="234">
        <f t="shared" ref="AW64" si="214">(AU64*AV64)^2</f>
        <v>0</v>
      </c>
      <c r="AX64" s="228"/>
      <c r="AY64" s="228"/>
      <c r="AZ64" s="236"/>
      <c r="BA64" s="228"/>
      <c r="BB64" s="234">
        <f>SUM(BB60:BB63)</f>
        <v>0</v>
      </c>
      <c r="BC64" s="534">
        <f>IF(BB64&gt;0,SQRT(SUM(BD60:BD63))/BB64,0)</f>
        <v>0</v>
      </c>
      <c r="BD64" s="234">
        <f t="shared" ref="BD64:BD73" si="215">(BB64*BC64)^2</f>
        <v>0</v>
      </c>
      <c r="BE64" s="228"/>
      <c r="BF64" s="228"/>
      <c r="BG64" s="236"/>
      <c r="BH64" s="228"/>
      <c r="BI64" s="234">
        <f>SUM(BI60:BI63)</f>
        <v>0</v>
      </c>
      <c r="BJ64" s="534">
        <f>IF(BI64&gt;0,SQRT(SUM(BK60:BK63))/BI64,0)</f>
        <v>0</v>
      </c>
      <c r="BK64" s="234">
        <f t="shared" ref="BK64:BK73" si="216">(BI64*BJ64)^2</f>
        <v>0</v>
      </c>
      <c r="BL64" s="228"/>
      <c r="BM64" s="228"/>
      <c r="BN64" s="232"/>
      <c r="BO64" s="238"/>
      <c r="BP64" s="239"/>
      <c r="BQ64" s="234">
        <f>SUM(BQ60:BQ63)</f>
        <v>0</v>
      </c>
      <c r="BR64" s="534">
        <f>IF(BQ64&gt;0,SQRT(SUM(BS60:BS63))/BQ64,0)</f>
        <v>0</v>
      </c>
      <c r="BS64" s="234">
        <f t="shared" ref="BS64:BS73" si="217">(BQ64*BR64)^2</f>
        <v>0</v>
      </c>
      <c r="BT64" s="228"/>
      <c r="BU64" s="228"/>
      <c r="BV64" s="232"/>
      <c r="BW64" s="238"/>
      <c r="BX64" s="234">
        <f>SUM(BX60:BX63)</f>
        <v>0</v>
      </c>
      <c r="BY64" s="534">
        <f>IF(BX64&gt;0,SQRT(SUM(BZ60:BZ63))/BX64,0)</f>
        <v>0</v>
      </c>
      <c r="BZ64" s="234">
        <f t="shared" ref="BZ64:BZ73" si="218">(BX64*BY64)^2</f>
        <v>0</v>
      </c>
      <c r="CA64" s="234">
        <f>SUM(CA60:CA63)</f>
        <v>0</v>
      </c>
      <c r="CB64" s="535">
        <f>IF(CA64&gt;0,SQRT(SUM(CC60:CC63))/CA64,0)</f>
        <v>0</v>
      </c>
      <c r="CC64" s="38">
        <f t="shared" ref="CC64:CC73" si="219">(CA64*CB64)^2</f>
        <v>0</v>
      </c>
    </row>
    <row r="65" spans="1:81" hidden="1">
      <c r="B65" s="213" t="s">
        <v>112</v>
      </c>
      <c r="C65" s="214"/>
      <c r="D65" s="214"/>
      <c r="E65" s="215"/>
      <c r="F65" s="216">
        <f t="shared" ref="F65:F71" si="220">VLOOKUP($E65,$CD$139:$DH$504,2,FALSE)</f>
        <v>0</v>
      </c>
      <c r="G65" s="214"/>
      <c r="H65" s="214"/>
      <c r="I65" s="214"/>
      <c r="J65" s="214"/>
      <c r="K65" s="214"/>
      <c r="L65" s="214"/>
      <c r="M65" s="214"/>
      <c r="N65" s="214"/>
      <c r="O65" s="214"/>
      <c r="P65" s="214"/>
      <c r="Q65" s="214"/>
      <c r="R65" s="214"/>
      <c r="S65" s="217">
        <f t="shared" ref="S65:S68" si="221">SUM(G65:R65)</f>
        <v>0</v>
      </c>
      <c r="T65" s="218">
        <f t="shared" ref="T65:T71" si="222">COUNT(G65:R65)</f>
        <v>0</v>
      </c>
      <c r="U65" s="217">
        <f t="shared" ref="U65:U71" si="223">IF(T65&gt;1,AVERAGE(G65:R65),0)</f>
        <v>0</v>
      </c>
      <c r="V65" s="217">
        <f t="shared" ref="V65:V71" si="224">IF(T65&gt;1,STDEV(G65:R65),0)</f>
        <v>0</v>
      </c>
      <c r="W65" s="217">
        <f t="shared" ref="W65:W71" si="225">IF(T65&gt;1,VLOOKUP($T65,$CD$408:$CE$420,2,FALSE),0)</f>
        <v>0</v>
      </c>
      <c r="X65" s="219"/>
      <c r="Y65" s="536">
        <f t="shared" ref="Y65:Y71" si="226">IF(X65&gt;0,X65,IF(T65&gt;1,1-((U65-((V65*W65)/(SQRT(T65))))/U65),VLOOKUP($E65,$CD$139:$DK$504,34,FALSE)))</f>
        <v>0.05</v>
      </c>
      <c r="Z65" s="223">
        <v>0</v>
      </c>
      <c r="AA65" s="221">
        <v>0</v>
      </c>
      <c r="AB65" s="537">
        <v>0</v>
      </c>
      <c r="AC65" s="536">
        <v>0</v>
      </c>
      <c r="AD65" s="538">
        <f t="shared" ref="AD65:AD71" si="227">($S65*Z65)/1000</f>
        <v>0</v>
      </c>
      <c r="AE65" s="538">
        <f t="shared" ref="AE65:AE71" si="228">AD65*$CE$426</f>
        <v>0</v>
      </c>
      <c r="AF65" s="536">
        <f t="shared" ref="AF65:AG71" si="229">IF(AD65&gt;0,SQRT(($Y65*$Y65)+(AC65*AC65)),0)</f>
        <v>0</v>
      </c>
      <c r="AG65" s="536">
        <f t="shared" si="229"/>
        <v>0</v>
      </c>
      <c r="AH65" s="225">
        <f>VLOOKUP($E65,$CD$139:$DH$504,3,FALSE)</f>
        <v>0</v>
      </c>
      <c r="AI65" s="221">
        <f>VLOOKUP($E65,$CD$139:$DH$504,4,FALSE)</f>
        <v>0</v>
      </c>
      <c r="AJ65" s="539">
        <f>IF($S65&gt;0,VLOOKUP($E65,$CD$139:$DH$504,7,FALSE),0)</f>
        <v>0</v>
      </c>
      <c r="AK65" s="536">
        <f>IF($S65&gt;0,VLOOKUP($E65,$CD$139:$DH$504,6,FALSE),0)</f>
        <v>0</v>
      </c>
      <c r="AL65" s="538">
        <f t="shared" ref="AL65:AL71" si="230">($S65*AH65)/1000</f>
        <v>0</v>
      </c>
      <c r="AM65" s="540">
        <f t="shared" ref="AM65:AM71" si="231">AL65*$CE$427</f>
        <v>0</v>
      </c>
      <c r="AN65" s="536">
        <f t="shared" ref="AN65:AN71" si="232">IF(AL65&gt;0,SQRT(($Y65*$Y65)+(AK65*AK65)),0)</f>
        <v>0</v>
      </c>
      <c r="AO65" s="538">
        <f t="shared" si="213"/>
        <v>0</v>
      </c>
      <c r="AP65" s="225">
        <v>0</v>
      </c>
      <c r="AQ65" s="221">
        <v>0</v>
      </c>
      <c r="AR65" s="537">
        <v>0</v>
      </c>
      <c r="AS65" s="536">
        <v>0</v>
      </c>
      <c r="AT65" s="540">
        <f t="shared" ref="AT65:AT71" si="233">($S65*AP65)/1000</f>
        <v>0</v>
      </c>
      <c r="AU65" s="540">
        <f t="shared" ref="AU65:AU71" si="234">AT65*$CE$428</f>
        <v>0</v>
      </c>
      <c r="AV65" s="536">
        <f t="shared" ref="AV65:AW71" si="235">IF(AT65&gt;0,SQRT(($Y65*$Y65)+(AS65*AS65)),0)</f>
        <v>0</v>
      </c>
      <c r="AW65" s="536">
        <f t="shared" si="235"/>
        <v>0</v>
      </c>
      <c r="AX65" s="223">
        <v>0</v>
      </c>
      <c r="AY65" s="221">
        <v>0</v>
      </c>
      <c r="AZ65" s="537">
        <v>0</v>
      </c>
      <c r="BA65" s="536">
        <v>0</v>
      </c>
      <c r="BB65" s="540">
        <v>0</v>
      </c>
      <c r="BC65" s="536">
        <f t="shared" ref="BC65:BC67" si="236">IF(BB65&gt;0,SQRT(($Y65*$Y65)+(BA65*BA65)),0)</f>
        <v>0</v>
      </c>
      <c r="BD65" s="538">
        <f t="shared" si="215"/>
        <v>0</v>
      </c>
      <c r="BE65" s="223">
        <v>0</v>
      </c>
      <c r="BF65" s="221">
        <v>0</v>
      </c>
      <c r="BG65" s="537">
        <v>0</v>
      </c>
      <c r="BH65" s="536">
        <v>0</v>
      </c>
      <c r="BI65" s="540">
        <v>0</v>
      </c>
      <c r="BJ65" s="536">
        <f t="shared" ref="BJ65:BJ67" si="237">IF(BI65&gt;0,SQRT(($Y65*$Y65)+(BH65*BH65)),0)</f>
        <v>0</v>
      </c>
      <c r="BK65" s="538">
        <f t="shared" si="216"/>
        <v>0</v>
      </c>
      <c r="BL65" s="223">
        <v>0</v>
      </c>
      <c r="BM65" s="221">
        <v>0</v>
      </c>
      <c r="BN65" s="537">
        <v>0</v>
      </c>
      <c r="BO65" s="536">
        <v>0</v>
      </c>
      <c r="BP65" s="540">
        <f t="shared" ref="BP65:BP71" si="238">($S65*BL65)/1000</f>
        <v>0</v>
      </c>
      <c r="BQ65" s="540">
        <f>BP65*$CE$429</f>
        <v>0</v>
      </c>
      <c r="BR65" s="536">
        <f t="shared" ref="BR65:BR71" si="239">IF(BP65&gt;0,SQRT(($Y65*$Y65)+(BO65*BO65)),0)</f>
        <v>0</v>
      </c>
      <c r="BS65" s="538">
        <f t="shared" si="217"/>
        <v>0</v>
      </c>
      <c r="BT65" s="223">
        <v>0</v>
      </c>
      <c r="BU65" s="221">
        <v>0</v>
      </c>
      <c r="BV65" s="537">
        <v>0</v>
      </c>
      <c r="BW65" s="536">
        <v>0</v>
      </c>
      <c r="BX65" s="540">
        <v>0</v>
      </c>
      <c r="BY65" s="536">
        <v>0</v>
      </c>
      <c r="BZ65" s="538">
        <f t="shared" si="218"/>
        <v>0</v>
      </c>
      <c r="CA65" s="217">
        <f t="shared" ref="CA65:CA71" si="240">IF(C65="EmisionesGEI",D65,AE65+AM65+AU65+BB65+BQ65)</f>
        <v>0</v>
      </c>
      <c r="CB65" s="541">
        <f t="shared" ref="CB65:CB71" si="241">IF(CA65&gt;0,SQRT(AG65+AO65+AW65+BD65+BS65)/CA65,0)</f>
        <v>0</v>
      </c>
      <c r="CC65" s="38">
        <f t="shared" si="219"/>
        <v>0</v>
      </c>
    </row>
    <row r="66" spans="1:81" ht="16.149999999999999" hidden="1">
      <c r="B66" s="276" t="s">
        <v>113</v>
      </c>
      <c r="C66" s="214"/>
      <c r="D66" s="214"/>
      <c r="E66" s="240"/>
      <c r="F66" s="216">
        <f t="shared" si="220"/>
        <v>0</v>
      </c>
      <c r="G66" s="214"/>
      <c r="H66" s="214"/>
      <c r="I66" s="214"/>
      <c r="J66" s="214"/>
      <c r="K66" s="214"/>
      <c r="L66" s="214"/>
      <c r="M66" s="214"/>
      <c r="N66" s="214"/>
      <c r="O66" s="214"/>
      <c r="P66" s="214"/>
      <c r="Q66" s="214"/>
      <c r="R66" s="214"/>
      <c r="S66" s="217">
        <f t="shared" si="221"/>
        <v>0</v>
      </c>
      <c r="T66" s="218">
        <f t="shared" si="222"/>
        <v>0</v>
      </c>
      <c r="U66" s="217">
        <f t="shared" si="223"/>
        <v>0</v>
      </c>
      <c r="V66" s="217">
        <f t="shared" si="224"/>
        <v>0</v>
      </c>
      <c r="W66" s="217">
        <f t="shared" si="225"/>
        <v>0</v>
      </c>
      <c r="X66" s="219"/>
      <c r="Y66" s="536">
        <f t="shared" si="226"/>
        <v>0.05</v>
      </c>
      <c r="Z66" s="220">
        <f>VLOOKUP($E66,$CD$139:$DH$504,3,FALSE)</f>
        <v>0</v>
      </c>
      <c r="AA66" s="221">
        <f>VLOOKUP($E66,$CD$139:$DH$504,4,FALSE)</f>
        <v>0</v>
      </c>
      <c r="AB66" s="537">
        <f>IF($S66&gt;0,VLOOKUP($E66,$CD$139:$DH$504,7,FALSE),0)</f>
        <v>0</v>
      </c>
      <c r="AC66" s="536">
        <f>IF($S66&gt;0,VLOOKUP($E66,$CD$139:$DH$504,6,FALSE),0)</f>
        <v>0</v>
      </c>
      <c r="AD66" s="538">
        <f t="shared" si="227"/>
        <v>0</v>
      </c>
      <c r="AE66" s="538">
        <f t="shared" si="228"/>
        <v>0</v>
      </c>
      <c r="AF66" s="536">
        <f t="shared" si="229"/>
        <v>0</v>
      </c>
      <c r="AG66" s="538">
        <f>(AE66*AF66)^2</f>
        <v>0</v>
      </c>
      <c r="AH66" s="225">
        <v>0</v>
      </c>
      <c r="AI66" s="221">
        <v>0</v>
      </c>
      <c r="AJ66" s="537">
        <v>0</v>
      </c>
      <c r="AK66" s="536">
        <v>0</v>
      </c>
      <c r="AL66" s="540">
        <f t="shared" si="230"/>
        <v>0</v>
      </c>
      <c r="AM66" s="540">
        <f t="shared" si="231"/>
        <v>0</v>
      </c>
      <c r="AN66" s="536">
        <f t="shared" si="232"/>
        <v>0</v>
      </c>
      <c r="AO66" s="538">
        <f t="shared" si="213"/>
        <v>0</v>
      </c>
      <c r="AP66" s="225">
        <v>0</v>
      </c>
      <c r="AQ66" s="221">
        <v>0</v>
      </c>
      <c r="AR66" s="537">
        <v>0</v>
      </c>
      <c r="AS66" s="536">
        <v>0</v>
      </c>
      <c r="AT66" s="540">
        <f t="shared" si="233"/>
        <v>0</v>
      </c>
      <c r="AU66" s="540">
        <f t="shared" si="234"/>
        <v>0</v>
      </c>
      <c r="AV66" s="536">
        <f t="shared" si="235"/>
        <v>0</v>
      </c>
      <c r="AW66" s="538">
        <f>(AU66*AV66)^2</f>
        <v>0</v>
      </c>
      <c r="AX66" s="223">
        <v>0</v>
      </c>
      <c r="AY66" s="221">
        <v>0</v>
      </c>
      <c r="AZ66" s="537">
        <v>0</v>
      </c>
      <c r="BA66" s="536">
        <v>0</v>
      </c>
      <c r="BB66" s="540">
        <f>($S66*AX66)/1000</f>
        <v>0</v>
      </c>
      <c r="BC66" s="536">
        <f t="shared" si="236"/>
        <v>0</v>
      </c>
      <c r="BD66" s="538">
        <f t="shared" si="215"/>
        <v>0</v>
      </c>
      <c r="BE66" s="223">
        <v>0</v>
      </c>
      <c r="BF66" s="221">
        <v>0</v>
      </c>
      <c r="BG66" s="537">
        <v>0</v>
      </c>
      <c r="BH66" s="536">
        <v>0</v>
      </c>
      <c r="BI66" s="540">
        <f>($S66*BE66)/1000</f>
        <v>0</v>
      </c>
      <c r="BJ66" s="536">
        <f t="shared" si="237"/>
        <v>0</v>
      </c>
      <c r="BK66" s="538">
        <f t="shared" si="216"/>
        <v>0</v>
      </c>
      <c r="BL66" s="223">
        <v>0</v>
      </c>
      <c r="BM66" s="221">
        <v>0</v>
      </c>
      <c r="BN66" s="537">
        <v>0</v>
      </c>
      <c r="BO66" s="536">
        <v>0</v>
      </c>
      <c r="BP66" s="540">
        <f t="shared" si="238"/>
        <v>0</v>
      </c>
      <c r="BQ66" s="540">
        <f>BP66*$CE$429</f>
        <v>0</v>
      </c>
      <c r="BR66" s="536">
        <f t="shared" si="239"/>
        <v>0</v>
      </c>
      <c r="BS66" s="538">
        <f t="shared" si="217"/>
        <v>0</v>
      </c>
      <c r="BT66" s="223">
        <v>0</v>
      </c>
      <c r="BU66" s="221">
        <v>0</v>
      </c>
      <c r="BV66" s="537">
        <v>0</v>
      </c>
      <c r="BW66" s="536">
        <v>0</v>
      </c>
      <c r="BX66" s="540">
        <v>0</v>
      </c>
      <c r="BY66" s="536">
        <v>0</v>
      </c>
      <c r="BZ66" s="538">
        <f t="shared" si="218"/>
        <v>0</v>
      </c>
      <c r="CA66" s="217">
        <f t="shared" si="240"/>
        <v>0</v>
      </c>
      <c r="CB66" s="541">
        <f t="shared" si="241"/>
        <v>0</v>
      </c>
      <c r="CC66" s="38">
        <f t="shared" si="219"/>
        <v>0</v>
      </c>
    </row>
    <row r="67" spans="1:81" hidden="1">
      <c r="B67" s="276" t="s">
        <v>114</v>
      </c>
      <c r="C67" s="214"/>
      <c r="D67" s="214"/>
      <c r="E67" s="240"/>
      <c r="F67" s="216">
        <f t="shared" si="220"/>
        <v>0</v>
      </c>
      <c r="G67" s="214"/>
      <c r="H67" s="214"/>
      <c r="I67" s="214"/>
      <c r="J67" s="214"/>
      <c r="K67" s="214"/>
      <c r="L67" s="214"/>
      <c r="M67" s="214"/>
      <c r="N67" s="214"/>
      <c r="O67" s="214"/>
      <c r="P67" s="214"/>
      <c r="Q67" s="214"/>
      <c r="R67" s="214"/>
      <c r="S67" s="217">
        <f t="shared" si="221"/>
        <v>0</v>
      </c>
      <c r="T67" s="218">
        <f t="shared" si="222"/>
        <v>0</v>
      </c>
      <c r="U67" s="217">
        <f t="shared" si="223"/>
        <v>0</v>
      </c>
      <c r="V67" s="217">
        <f t="shared" si="224"/>
        <v>0</v>
      </c>
      <c r="W67" s="217">
        <f t="shared" si="225"/>
        <v>0</v>
      </c>
      <c r="X67" s="219"/>
      <c r="Y67" s="536">
        <f t="shared" si="226"/>
        <v>0.05</v>
      </c>
      <c r="Z67" s="220">
        <v>0</v>
      </c>
      <c r="AA67" s="221">
        <v>0</v>
      </c>
      <c r="AB67" s="537">
        <v>0</v>
      </c>
      <c r="AC67" s="536">
        <v>0</v>
      </c>
      <c r="AD67" s="538">
        <f t="shared" si="227"/>
        <v>0</v>
      </c>
      <c r="AE67" s="538">
        <f t="shared" si="228"/>
        <v>0</v>
      </c>
      <c r="AF67" s="536">
        <f t="shared" si="229"/>
        <v>0</v>
      </c>
      <c r="AG67" s="538">
        <f>(AE67*AF67)^2</f>
        <v>0</v>
      </c>
      <c r="AH67" s="225">
        <v>0</v>
      </c>
      <c r="AI67" s="221">
        <v>0</v>
      </c>
      <c r="AJ67" s="537">
        <v>0</v>
      </c>
      <c r="AK67" s="536">
        <v>0</v>
      </c>
      <c r="AL67" s="540">
        <f t="shared" si="230"/>
        <v>0</v>
      </c>
      <c r="AM67" s="540">
        <f t="shared" si="231"/>
        <v>0</v>
      </c>
      <c r="AN67" s="536">
        <f t="shared" si="232"/>
        <v>0</v>
      </c>
      <c r="AO67" s="538">
        <f t="shared" si="213"/>
        <v>0</v>
      </c>
      <c r="AP67" s="225">
        <v>0</v>
      </c>
      <c r="AQ67" s="221">
        <v>0</v>
      </c>
      <c r="AR67" s="537">
        <v>0</v>
      </c>
      <c r="AS67" s="536">
        <v>0</v>
      </c>
      <c r="AT67" s="540">
        <f t="shared" si="233"/>
        <v>0</v>
      </c>
      <c r="AU67" s="540">
        <f t="shared" si="234"/>
        <v>0</v>
      </c>
      <c r="AV67" s="536">
        <f t="shared" si="235"/>
        <v>0</v>
      </c>
      <c r="AW67" s="538">
        <f>(AU67*AV67)^2</f>
        <v>0</v>
      </c>
      <c r="AX67" s="223">
        <v>0</v>
      </c>
      <c r="AY67" s="221">
        <v>0</v>
      </c>
      <c r="AZ67" s="537">
        <v>0</v>
      </c>
      <c r="BA67" s="536">
        <v>0</v>
      </c>
      <c r="BB67" s="540">
        <f>($S67*AX67)/1000</f>
        <v>0</v>
      </c>
      <c r="BC67" s="536">
        <f t="shared" si="236"/>
        <v>0</v>
      </c>
      <c r="BD67" s="538">
        <f t="shared" si="215"/>
        <v>0</v>
      </c>
      <c r="BE67" s="223">
        <v>0</v>
      </c>
      <c r="BF67" s="221">
        <v>0</v>
      </c>
      <c r="BG67" s="537">
        <v>0</v>
      </c>
      <c r="BH67" s="536">
        <v>0</v>
      </c>
      <c r="BI67" s="540">
        <f>($S67*BE67)/1000</f>
        <v>0</v>
      </c>
      <c r="BJ67" s="536">
        <f t="shared" si="237"/>
        <v>0</v>
      </c>
      <c r="BK67" s="538">
        <f t="shared" si="216"/>
        <v>0</v>
      </c>
      <c r="BL67" s="220">
        <f>VLOOKUP($E67,$CD$139:$DH$504,3,FALSE)</f>
        <v>0</v>
      </c>
      <c r="BM67" s="221">
        <f>VLOOKUP($E67,$CD$139:$DH$504,4,FALSE)</f>
        <v>0</v>
      </c>
      <c r="BN67" s="537">
        <f>IF($S67&gt;0,VLOOKUP($E67,$CD$139:$DH$504,7,FALSE),0)</f>
        <v>0</v>
      </c>
      <c r="BO67" s="536">
        <f>IF($S67&gt;0,VLOOKUP($E67,$CD$139:$DH$504,6,FALSE),0)</f>
        <v>0</v>
      </c>
      <c r="BP67" s="540">
        <f t="shared" si="238"/>
        <v>0</v>
      </c>
      <c r="BQ67" s="540">
        <f>BP67</f>
        <v>0</v>
      </c>
      <c r="BR67" s="536">
        <f t="shared" si="239"/>
        <v>0</v>
      </c>
      <c r="BS67" s="538">
        <f t="shared" si="217"/>
        <v>0</v>
      </c>
      <c r="BT67" s="220">
        <v>0</v>
      </c>
      <c r="BU67" s="221">
        <v>0</v>
      </c>
      <c r="BV67" s="537">
        <v>0</v>
      </c>
      <c r="BW67" s="536">
        <v>0</v>
      </c>
      <c r="BX67" s="540">
        <v>0</v>
      </c>
      <c r="BY67" s="536">
        <v>0</v>
      </c>
      <c r="BZ67" s="538">
        <f t="shared" si="218"/>
        <v>0</v>
      </c>
      <c r="CA67" s="217">
        <f t="shared" si="240"/>
        <v>0</v>
      </c>
      <c r="CB67" s="541">
        <f t="shared" si="241"/>
        <v>0</v>
      </c>
      <c r="CC67" s="38">
        <f t="shared" si="219"/>
        <v>0</v>
      </c>
    </row>
    <row r="68" spans="1:81" hidden="1">
      <c r="B68" s="667" t="s">
        <v>115</v>
      </c>
      <c r="C68" s="214"/>
      <c r="D68" s="214"/>
      <c r="E68" s="240"/>
      <c r="F68" s="216">
        <f t="shared" si="220"/>
        <v>0</v>
      </c>
      <c r="G68" s="214"/>
      <c r="H68" s="214"/>
      <c r="I68" s="214"/>
      <c r="J68" s="214"/>
      <c r="K68" s="214"/>
      <c r="L68" s="214"/>
      <c r="M68" s="214"/>
      <c r="N68" s="214"/>
      <c r="O68" s="214"/>
      <c r="P68" s="214"/>
      <c r="Q68" s="214"/>
      <c r="R68" s="214"/>
      <c r="S68" s="217">
        <f t="shared" si="221"/>
        <v>0</v>
      </c>
      <c r="T68" s="218">
        <f t="shared" si="222"/>
        <v>0</v>
      </c>
      <c r="U68" s="217">
        <f t="shared" si="223"/>
        <v>0</v>
      </c>
      <c r="V68" s="217">
        <f t="shared" si="224"/>
        <v>0</v>
      </c>
      <c r="W68" s="217">
        <f t="shared" si="225"/>
        <v>0</v>
      </c>
      <c r="X68" s="219"/>
      <c r="Y68" s="536">
        <f t="shared" si="226"/>
        <v>0.05</v>
      </c>
      <c r="Z68" s="223">
        <v>0</v>
      </c>
      <c r="AA68" s="221">
        <v>0</v>
      </c>
      <c r="AB68" s="537">
        <v>0</v>
      </c>
      <c r="AC68" s="536">
        <v>0</v>
      </c>
      <c r="AD68" s="538">
        <f t="shared" si="227"/>
        <v>0</v>
      </c>
      <c r="AE68" s="538">
        <f t="shared" si="228"/>
        <v>0</v>
      </c>
      <c r="AF68" s="536">
        <f t="shared" si="229"/>
        <v>0</v>
      </c>
      <c r="AG68" s="538">
        <f>(AE68*AF68)^2</f>
        <v>0</v>
      </c>
      <c r="AH68" s="222">
        <f>VLOOKUP($E68,$CD$139:$DH$504,3,FALSE)</f>
        <v>0</v>
      </c>
      <c r="AI68" s="221">
        <f>VLOOKUP($E68,$CD$139:$DH$504,4,FALSE)</f>
        <v>0</v>
      </c>
      <c r="AJ68" s="537">
        <f>IF($S68&gt;0,VLOOKUP($E68,$CD$139:$DH$504,7,FALSE),0)</f>
        <v>0</v>
      </c>
      <c r="AK68" s="536">
        <f>IF($S68&gt;0,VLOOKUP($E68,$CD$139:$DH$504,6,FALSE),0)</f>
        <v>0</v>
      </c>
      <c r="AL68" s="538">
        <f t="shared" si="230"/>
        <v>0</v>
      </c>
      <c r="AM68" s="540">
        <f t="shared" si="231"/>
        <v>0</v>
      </c>
      <c r="AN68" s="536">
        <f t="shared" si="232"/>
        <v>0</v>
      </c>
      <c r="AO68" s="538">
        <f t="shared" si="213"/>
        <v>0</v>
      </c>
      <c r="AP68" s="225">
        <f>VLOOKUP($E68,$CD$139:$DH$504,9,FALSE)</f>
        <v>0</v>
      </c>
      <c r="AQ68" s="221">
        <f>VLOOKUP($E68,$CD$139:$DH$504,10,FALSE)</f>
        <v>0</v>
      </c>
      <c r="AR68" s="537">
        <f>IF($S68&gt;0,VLOOKUP($E68,$CD$139:$DH$504,13,FALSE),0)</f>
        <v>0</v>
      </c>
      <c r="AS68" s="536">
        <f>IF($S68&gt;0,VLOOKUP($E68,$CD$139:$DH$504,12,FALSE),0)</f>
        <v>0</v>
      </c>
      <c r="AT68" s="540">
        <f t="shared" si="233"/>
        <v>0</v>
      </c>
      <c r="AU68" s="540">
        <f t="shared" si="234"/>
        <v>0</v>
      </c>
      <c r="AV68" s="536">
        <f t="shared" si="235"/>
        <v>0</v>
      </c>
      <c r="AW68" s="538">
        <f>(AU68*AV68)^2</f>
        <v>0</v>
      </c>
      <c r="AX68" s="223">
        <v>0</v>
      </c>
      <c r="AY68" s="221">
        <v>0</v>
      </c>
      <c r="AZ68" s="537">
        <v>0</v>
      </c>
      <c r="BA68" s="536">
        <v>0</v>
      </c>
      <c r="BB68" s="540">
        <v>0</v>
      </c>
      <c r="BC68" s="536">
        <v>0</v>
      </c>
      <c r="BD68" s="538">
        <f t="shared" si="215"/>
        <v>0</v>
      </c>
      <c r="BE68" s="223">
        <v>0</v>
      </c>
      <c r="BF68" s="221">
        <v>0</v>
      </c>
      <c r="BG68" s="537">
        <v>0</v>
      </c>
      <c r="BH68" s="536">
        <v>0</v>
      </c>
      <c r="BI68" s="540">
        <v>0</v>
      </c>
      <c r="BJ68" s="536">
        <v>0</v>
      </c>
      <c r="BK68" s="538">
        <f t="shared" si="216"/>
        <v>0</v>
      </c>
      <c r="BL68" s="223">
        <v>0</v>
      </c>
      <c r="BM68" s="221">
        <v>0</v>
      </c>
      <c r="BN68" s="537">
        <v>0</v>
      </c>
      <c r="BO68" s="536">
        <v>0</v>
      </c>
      <c r="BP68" s="540">
        <f t="shared" si="238"/>
        <v>0</v>
      </c>
      <c r="BQ68" s="540">
        <f>BP68*$CE$429</f>
        <v>0</v>
      </c>
      <c r="BR68" s="536">
        <f t="shared" si="239"/>
        <v>0</v>
      </c>
      <c r="BS68" s="538">
        <f t="shared" si="217"/>
        <v>0</v>
      </c>
      <c r="BT68" s="223">
        <v>0</v>
      </c>
      <c r="BU68" s="221">
        <v>0</v>
      </c>
      <c r="BV68" s="537">
        <v>0</v>
      </c>
      <c r="BW68" s="536">
        <v>0</v>
      </c>
      <c r="BX68" s="540">
        <v>0</v>
      </c>
      <c r="BY68" s="536">
        <v>0</v>
      </c>
      <c r="BZ68" s="538">
        <f t="shared" si="218"/>
        <v>0</v>
      </c>
      <c r="CA68" s="217">
        <f t="shared" si="240"/>
        <v>0</v>
      </c>
      <c r="CB68" s="541">
        <f t="shared" si="241"/>
        <v>0</v>
      </c>
      <c r="CC68" s="38">
        <f t="shared" si="219"/>
        <v>0</v>
      </c>
    </row>
    <row r="69" spans="1:81" hidden="1">
      <c r="B69" s="668"/>
      <c r="C69" s="214"/>
      <c r="D69" s="214"/>
      <c r="E69" s="240"/>
      <c r="F69" s="216">
        <f t="shared" si="220"/>
        <v>0</v>
      </c>
      <c r="G69" s="214"/>
      <c r="H69" s="214"/>
      <c r="I69" s="214"/>
      <c r="J69" s="214"/>
      <c r="K69" s="214"/>
      <c r="L69" s="214"/>
      <c r="M69" s="214"/>
      <c r="N69" s="214"/>
      <c r="O69" s="214"/>
      <c r="P69" s="214"/>
      <c r="Q69" s="214"/>
      <c r="R69" s="214"/>
      <c r="S69" s="217">
        <f t="shared" ref="S69:S71" si="242">SUM(G69:R69)</f>
        <v>0</v>
      </c>
      <c r="T69" s="218">
        <f t="shared" si="222"/>
        <v>0</v>
      </c>
      <c r="U69" s="217">
        <f t="shared" si="223"/>
        <v>0</v>
      </c>
      <c r="V69" s="217">
        <f t="shared" si="224"/>
        <v>0</v>
      </c>
      <c r="W69" s="217">
        <f t="shared" si="225"/>
        <v>0</v>
      </c>
      <c r="X69" s="219"/>
      <c r="Y69" s="536">
        <f t="shared" si="226"/>
        <v>0.05</v>
      </c>
      <c r="Z69" s="223">
        <v>0</v>
      </c>
      <c r="AA69" s="221">
        <v>0</v>
      </c>
      <c r="AB69" s="537">
        <v>0</v>
      </c>
      <c r="AC69" s="536">
        <v>0</v>
      </c>
      <c r="AD69" s="538">
        <f t="shared" si="227"/>
        <v>0</v>
      </c>
      <c r="AE69" s="538">
        <f t="shared" si="228"/>
        <v>0</v>
      </c>
      <c r="AF69" s="536">
        <f t="shared" si="229"/>
        <v>0</v>
      </c>
      <c r="AG69" s="538">
        <f t="shared" ref="AG69:AG73" si="243">(AE69*AF69)^2</f>
        <v>0</v>
      </c>
      <c r="AH69" s="222">
        <f>VLOOKUP($E69,$CD$139:$DH$504,3,FALSE)</f>
        <v>0</v>
      </c>
      <c r="AI69" s="221">
        <f>VLOOKUP($E69,$CD$139:$DH$504,4,FALSE)</f>
        <v>0</v>
      </c>
      <c r="AJ69" s="537">
        <f>IF($S69&gt;0,VLOOKUP($E69,$CD$139:$DH$504,7,FALSE),0)</f>
        <v>0</v>
      </c>
      <c r="AK69" s="536">
        <f>IF($S69&gt;0,VLOOKUP($E69,$CD$139:$DH$504,6,FALSE),0)</f>
        <v>0</v>
      </c>
      <c r="AL69" s="538">
        <f t="shared" si="230"/>
        <v>0</v>
      </c>
      <c r="AM69" s="540">
        <f t="shared" si="231"/>
        <v>0</v>
      </c>
      <c r="AN69" s="536">
        <f t="shared" si="232"/>
        <v>0</v>
      </c>
      <c r="AO69" s="538">
        <f t="shared" si="213"/>
        <v>0</v>
      </c>
      <c r="AP69" s="225">
        <f>VLOOKUP($E69,$CD$139:$DH$504,9,FALSE)</f>
        <v>0</v>
      </c>
      <c r="AQ69" s="221">
        <f>VLOOKUP($E69,$CD$139:$DH$504,10,FALSE)</f>
        <v>0</v>
      </c>
      <c r="AR69" s="537">
        <f>IF($S69&gt;0,VLOOKUP($E69,$CD$139:$DH$504,13,FALSE),0)</f>
        <v>0</v>
      </c>
      <c r="AS69" s="536">
        <f>IF($S69&gt;0,VLOOKUP($E69,$CD$139:$DH$504,12,FALSE),0)</f>
        <v>0</v>
      </c>
      <c r="AT69" s="540">
        <f t="shared" si="233"/>
        <v>0</v>
      </c>
      <c r="AU69" s="540">
        <f t="shared" si="234"/>
        <v>0</v>
      </c>
      <c r="AV69" s="536">
        <f t="shared" si="235"/>
        <v>0</v>
      </c>
      <c r="AW69" s="538">
        <f t="shared" ref="AW69:AW73" si="244">(AU69*AV69)^2</f>
        <v>0</v>
      </c>
      <c r="AX69" s="223">
        <v>0</v>
      </c>
      <c r="AY69" s="221">
        <v>0</v>
      </c>
      <c r="AZ69" s="537">
        <v>0</v>
      </c>
      <c r="BA69" s="536">
        <v>0</v>
      </c>
      <c r="BB69" s="540">
        <v>0</v>
      </c>
      <c r="BC69" s="536">
        <v>0</v>
      </c>
      <c r="BD69" s="538">
        <f t="shared" si="215"/>
        <v>0</v>
      </c>
      <c r="BE69" s="223">
        <v>0</v>
      </c>
      <c r="BF69" s="221">
        <v>0</v>
      </c>
      <c r="BG69" s="537">
        <v>0</v>
      </c>
      <c r="BH69" s="536">
        <v>0</v>
      </c>
      <c r="BI69" s="540">
        <v>0</v>
      </c>
      <c r="BJ69" s="536">
        <v>0</v>
      </c>
      <c r="BK69" s="538">
        <f t="shared" si="216"/>
        <v>0</v>
      </c>
      <c r="BL69" s="223">
        <v>0</v>
      </c>
      <c r="BM69" s="221">
        <v>0</v>
      </c>
      <c r="BN69" s="537">
        <v>0</v>
      </c>
      <c r="BO69" s="536">
        <v>0</v>
      </c>
      <c r="BP69" s="540">
        <f t="shared" si="238"/>
        <v>0</v>
      </c>
      <c r="BQ69" s="540">
        <f>BP69*$CE$429</f>
        <v>0</v>
      </c>
      <c r="BR69" s="536">
        <f t="shared" si="239"/>
        <v>0</v>
      </c>
      <c r="BS69" s="538">
        <f t="shared" si="217"/>
        <v>0</v>
      </c>
      <c r="BT69" s="223">
        <v>0</v>
      </c>
      <c r="BU69" s="221">
        <v>0</v>
      </c>
      <c r="BV69" s="537">
        <v>0</v>
      </c>
      <c r="BW69" s="536">
        <v>0</v>
      </c>
      <c r="BX69" s="540">
        <v>0</v>
      </c>
      <c r="BY69" s="536">
        <v>0</v>
      </c>
      <c r="BZ69" s="538">
        <f t="shared" si="218"/>
        <v>0</v>
      </c>
      <c r="CA69" s="217">
        <f t="shared" si="240"/>
        <v>0</v>
      </c>
      <c r="CB69" s="541">
        <f t="shared" si="241"/>
        <v>0</v>
      </c>
      <c r="CC69" s="38">
        <f t="shared" si="219"/>
        <v>0</v>
      </c>
    </row>
    <row r="70" spans="1:81" hidden="1">
      <c r="B70" s="667" t="s">
        <v>116</v>
      </c>
      <c r="C70" s="214"/>
      <c r="D70" s="214"/>
      <c r="E70" s="240"/>
      <c r="F70" s="216">
        <f t="shared" si="220"/>
        <v>0</v>
      </c>
      <c r="G70" s="214"/>
      <c r="H70" s="214"/>
      <c r="I70" s="214"/>
      <c r="J70" s="214"/>
      <c r="K70" s="214"/>
      <c r="L70" s="214"/>
      <c r="M70" s="214"/>
      <c r="N70" s="214"/>
      <c r="O70" s="214"/>
      <c r="P70" s="214"/>
      <c r="Q70" s="214"/>
      <c r="R70" s="214"/>
      <c r="S70" s="217">
        <f t="shared" si="242"/>
        <v>0</v>
      </c>
      <c r="T70" s="218">
        <f t="shared" si="222"/>
        <v>0</v>
      </c>
      <c r="U70" s="217">
        <f t="shared" si="223"/>
        <v>0</v>
      </c>
      <c r="V70" s="217">
        <f t="shared" si="224"/>
        <v>0</v>
      </c>
      <c r="W70" s="217">
        <f t="shared" si="225"/>
        <v>0</v>
      </c>
      <c r="X70" s="219"/>
      <c r="Y70" s="536">
        <f t="shared" si="226"/>
        <v>0.05</v>
      </c>
      <c r="Z70" s="223">
        <v>0</v>
      </c>
      <c r="AA70" s="221">
        <v>0</v>
      </c>
      <c r="AB70" s="537">
        <v>0</v>
      </c>
      <c r="AC70" s="536">
        <v>0</v>
      </c>
      <c r="AD70" s="538">
        <f t="shared" si="227"/>
        <v>0</v>
      </c>
      <c r="AE70" s="538">
        <f t="shared" si="228"/>
        <v>0</v>
      </c>
      <c r="AF70" s="536">
        <f t="shared" si="229"/>
        <v>0</v>
      </c>
      <c r="AG70" s="538">
        <f t="shared" si="243"/>
        <v>0</v>
      </c>
      <c r="AH70" s="222">
        <f>VLOOKUP($E70,$CD$139:$DH$504,3,FALSE)</f>
        <v>0</v>
      </c>
      <c r="AI70" s="221">
        <f>VLOOKUP($E70,$CD$139:$DH$504,4,FALSE)</f>
        <v>0</v>
      </c>
      <c r="AJ70" s="537">
        <f>IF($S70&gt;0,VLOOKUP($E70,$CD$139:$DH$504,7,FALSE),0)</f>
        <v>0</v>
      </c>
      <c r="AK70" s="536">
        <f>IF($S70&gt;0,VLOOKUP($E70,$CD$139:$DH$504,6,FALSE),0)</f>
        <v>0</v>
      </c>
      <c r="AL70" s="538">
        <f t="shared" si="230"/>
        <v>0</v>
      </c>
      <c r="AM70" s="540">
        <f t="shared" si="231"/>
        <v>0</v>
      </c>
      <c r="AN70" s="536">
        <f t="shared" si="232"/>
        <v>0</v>
      </c>
      <c r="AO70" s="538">
        <f t="shared" si="213"/>
        <v>0</v>
      </c>
      <c r="AP70" s="225">
        <f>VLOOKUP($E70,$CD$139:$DH$504,9,FALSE)</f>
        <v>0</v>
      </c>
      <c r="AQ70" s="221">
        <f>VLOOKUP($E70,$CD$139:$DH$504,10,FALSE)</f>
        <v>0</v>
      </c>
      <c r="AR70" s="537">
        <f>IF($S70&gt;0,VLOOKUP($E70,$CD$139:$DH$504,13,FALSE),0)</f>
        <v>0</v>
      </c>
      <c r="AS70" s="536">
        <f>IF($S70&gt;0,VLOOKUP($E70,$CD$139:$DH$504,12,FALSE),0)</f>
        <v>0</v>
      </c>
      <c r="AT70" s="540">
        <f t="shared" si="233"/>
        <v>0</v>
      </c>
      <c r="AU70" s="540">
        <f t="shared" si="234"/>
        <v>0</v>
      </c>
      <c r="AV70" s="536">
        <f t="shared" si="235"/>
        <v>0</v>
      </c>
      <c r="AW70" s="538">
        <f t="shared" si="244"/>
        <v>0</v>
      </c>
      <c r="AX70" s="223">
        <v>0</v>
      </c>
      <c r="AY70" s="221">
        <v>0</v>
      </c>
      <c r="AZ70" s="537">
        <v>0</v>
      </c>
      <c r="BA70" s="536">
        <v>0</v>
      </c>
      <c r="BB70" s="540">
        <v>0</v>
      </c>
      <c r="BC70" s="536">
        <v>0</v>
      </c>
      <c r="BD70" s="538">
        <f t="shared" si="215"/>
        <v>0</v>
      </c>
      <c r="BE70" s="223">
        <v>0</v>
      </c>
      <c r="BF70" s="221">
        <v>0</v>
      </c>
      <c r="BG70" s="537">
        <v>0</v>
      </c>
      <c r="BH70" s="536">
        <v>0</v>
      </c>
      <c r="BI70" s="540">
        <v>0</v>
      </c>
      <c r="BJ70" s="536">
        <v>0</v>
      </c>
      <c r="BK70" s="538">
        <f t="shared" si="216"/>
        <v>0</v>
      </c>
      <c r="BL70" s="223">
        <v>0</v>
      </c>
      <c r="BM70" s="221">
        <v>0</v>
      </c>
      <c r="BN70" s="537">
        <v>0</v>
      </c>
      <c r="BO70" s="536">
        <v>0</v>
      </c>
      <c r="BP70" s="540">
        <f t="shared" si="238"/>
        <v>0</v>
      </c>
      <c r="BQ70" s="540">
        <f>BP70*$CE$429</f>
        <v>0</v>
      </c>
      <c r="BR70" s="536">
        <f t="shared" si="239"/>
        <v>0</v>
      </c>
      <c r="BS70" s="538">
        <f t="shared" si="217"/>
        <v>0</v>
      </c>
      <c r="BT70" s="223">
        <v>0</v>
      </c>
      <c r="BU70" s="221">
        <v>0</v>
      </c>
      <c r="BV70" s="537">
        <v>0</v>
      </c>
      <c r="BW70" s="536">
        <v>0</v>
      </c>
      <c r="BX70" s="540">
        <v>0</v>
      </c>
      <c r="BY70" s="536">
        <v>0</v>
      </c>
      <c r="BZ70" s="538">
        <f t="shared" si="218"/>
        <v>0</v>
      </c>
      <c r="CA70" s="217">
        <f t="shared" si="240"/>
        <v>0</v>
      </c>
      <c r="CB70" s="541">
        <f t="shared" si="241"/>
        <v>0</v>
      </c>
      <c r="CC70" s="38">
        <f t="shared" si="219"/>
        <v>0</v>
      </c>
    </row>
    <row r="71" spans="1:81" hidden="1">
      <c r="B71" s="668"/>
      <c r="C71" s="214"/>
      <c r="D71" s="214"/>
      <c r="E71" s="240"/>
      <c r="F71" s="216">
        <f t="shared" si="220"/>
        <v>0</v>
      </c>
      <c r="G71" s="214"/>
      <c r="H71" s="214"/>
      <c r="I71" s="214"/>
      <c r="J71" s="214"/>
      <c r="K71" s="214"/>
      <c r="L71" s="214"/>
      <c r="M71" s="214"/>
      <c r="N71" s="214"/>
      <c r="O71" s="214"/>
      <c r="P71" s="214"/>
      <c r="Q71" s="214"/>
      <c r="R71" s="214"/>
      <c r="S71" s="217">
        <f t="shared" si="242"/>
        <v>0</v>
      </c>
      <c r="T71" s="218">
        <f t="shared" si="222"/>
        <v>0</v>
      </c>
      <c r="U71" s="217">
        <f t="shared" si="223"/>
        <v>0</v>
      </c>
      <c r="V71" s="217">
        <f t="shared" si="224"/>
        <v>0</v>
      </c>
      <c r="W71" s="217">
        <f t="shared" si="225"/>
        <v>0</v>
      </c>
      <c r="X71" s="219"/>
      <c r="Y71" s="536">
        <f t="shared" si="226"/>
        <v>0.05</v>
      </c>
      <c r="Z71" s="223">
        <v>0</v>
      </c>
      <c r="AA71" s="221">
        <v>0</v>
      </c>
      <c r="AB71" s="537">
        <v>0</v>
      </c>
      <c r="AC71" s="536">
        <v>0</v>
      </c>
      <c r="AD71" s="538">
        <f t="shared" si="227"/>
        <v>0</v>
      </c>
      <c r="AE71" s="538">
        <f t="shared" si="228"/>
        <v>0</v>
      </c>
      <c r="AF71" s="536">
        <f t="shared" si="229"/>
        <v>0</v>
      </c>
      <c r="AG71" s="538">
        <f t="shared" si="243"/>
        <v>0</v>
      </c>
      <c r="AH71" s="222">
        <f>VLOOKUP($E71,$CD$139:$DH$504,3,FALSE)</f>
        <v>0</v>
      </c>
      <c r="AI71" s="221">
        <f>VLOOKUP($E71,$CD$139:$DH$504,4,FALSE)</f>
        <v>0</v>
      </c>
      <c r="AJ71" s="537">
        <f>IF($S71&gt;0,VLOOKUP($E71,$CD$139:$DH$504,7,FALSE),0)</f>
        <v>0</v>
      </c>
      <c r="AK71" s="536">
        <f>IF($S71&gt;0,VLOOKUP($E71,$CD$139:$DH$504,6,FALSE),0)</f>
        <v>0</v>
      </c>
      <c r="AL71" s="538">
        <f t="shared" si="230"/>
        <v>0</v>
      </c>
      <c r="AM71" s="540">
        <f t="shared" si="231"/>
        <v>0</v>
      </c>
      <c r="AN71" s="536">
        <f t="shared" si="232"/>
        <v>0</v>
      </c>
      <c r="AO71" s="538">
        <f t="shared" si="213"/>
        <v>0</v>
      </c>
      <c r="AP71" s="225">
        <v>0</v>
      </c>
      <c r="AQ71" s="221">
        <v>0</v>
      </c>
      <c r="AR71" s="537">
        <v>0</v>
      </c>
      <c r="AS71" s="536">
        <v>0</v>
      </c>
      <c r="AT71" s="540">
        <f t="shared" si="233"/>
        <v>0</v>
      </c>
      <c r="AU71" s="540">
        <f t="shared" si="234"/>
        <v>0</v>
      </c>
      <c r="AV71" s="536">
        <f t="shared" si="235"/>
        <v>0</v>
      </c>
      <c r="AW71" s="538">
        <f t="shared" si="244"/>
        <v>0</v>
      </c>
      <c r="AX71" s="223">
        <v>0</v>
      </c>
      <c r="AY71" s="221">
        <v>0</v>
      </c>
      <c r="AZ71" s="537">
        <v>0</v>
      </c>
      <c r="BA71" s="536">
        <v>0</v>
      </c>
      <c r="BB71" s="540">
        <v>0</v>
      </c>
      <c r="BC71" s="536">
        <v>0</v>
      </c>
      <c r="BD71" s="538">
        <f t="shared" si="215"/>
        <v>0</v>
      </c>
      <c r="BE71" s="223">
        <v>0</v>
      </c>
      <c r="BF71" s="221">
        <v>0</v>
      </c>
      <c r="BG71" s="537">
        <v>0</v>
      </c>
      <c r="BH71" s="536">
        <v>0</v>
      </c>
      <c r="BI71" s="540">
        <v>0</v>
      </c>
      <c r="BJ71" s="536">
        <v>0</v>
      </c>
      <c r="BK71" s="538">
        <f t="shared" si="216"/>
        <v>0</v>
      </c>
      <c r="BL71" s="223">
        <v>0</v>
      </c>
      <c r="BM71" s="221">
        <v>0</v>
      </c>
      <c r="BN71" s="537">
        <v>0</v>
      </c>
      <c r="BO71" s="536">
        <v>0</v>
      </c>
      <c r="BP71" s="540">
        <f t="shared" si="238"/>
        <v>0</v>
      </c>
      <c r="BQ71" s="540">
        <f>BP71*$CE$429</f>
        <v>0</v>
      </c>
      <c r="BR71" s="536">
        <f t="shared" si="239"/>
        <v>0</v>
      </c>
      <c r="BS71" s="538">
        <f t="shared" si="217"/>
        <v>0</v>
      </c>
      <c r="BT71" s="223">
        <v>0</v>
      </c>
      <c r="BU71" s="221">
        <v>0</v>
      </c>
      <c r="BV71" s="537">
        <v>0</v>
      </c>
      <c r="BW71" s="536">
        <v>0</v>
      </c>
      <c r="BX71" s="540">
        <v>0</v>
      </c>
      <c r="BY71" s="536">
        <v>0</v>
      </c>
      <c r="BZ71" s="538">
        <f t="shared" si="218"/>
        <v>0</v>
      </c>
      <c r="CA71" s="217">
        <f t="shared" si="240"/>
        <v>0</v>
      </c>
      <c r="CB71" s="541">
        <f t="shared" si="241"/>
        <v>0</v>
      </c>
      <c r="CC71" s="38">
        <f t="shared" si="219"/>
        <v>0</v>
      </c>
    </row>
    <row r="72" spans="1:81" hidden="1">
      <c r="B72" s="227" t="s">
        <v>117</v>
      </c>
      <c r="C72" s="241"/>
      <c r="D72" s="241"/>
      <c r="E72" s="228"/>
      <c r="F72" s="228"/>
      <c r="G72" s="228"/>
      <c r="H72" s="228"/>
      <c r="I72" s="228"/>
      <c r="J72" s="228"/>
      <c r="K72" s="228"/>
      <c r="L72" s="228"/>
      <c r="M72" s="228"/>
      <c r="N72" s="228"/>
      <c r="O72" s="228"/>
      <c r="P72" s="228"/>
      <c r="Q72" s="228"/>
      <c r="R72" s="228"/>
      <c r="S72" s="228"/>
      <c r="T72" s="228"/>
      <c r="U72" s="228"/>
      <c r="V72" s="228"/>
      <c r="W72" s="228"/>
      <c r="X72" s="230"/>
      <c r="Y72" s="228"/>
      <c r="Z72" s="228"/>
      <c r="AA72" s="228"/>
      <c r="AB72" s="232"/>
      <c r="AC72" s="228"/>
      <c r="AD72" s="233"/>
      <c r="AE72" s="234">
        <f>SUM(AE65:AE71)</f>
        <v>0</v>
      </c>
      <c r="AF72" s="534">
        <f>IF(AE72&gt;0,SQRT(SUM(AG65:AG71))/AE72,0)</f>
        <v>0</v>
      </c>
      <c r="AG72" s="234">
        <f t="shared" si="243"/>
        <v>0</v>
      </c>
      <c r="AH72" s="235"/>
      <c r="AI72" s="228"/>
      <c r="AJ72" s="236"/>
      <c r="AK72" s="228"/>
      <c r="AL72" s="237"/>
      <c r="AM72" s="234">
        <f>SUM(AM65:AM71)</f>
        <v>0</v>
      </c>
      <c r="AN72" s="534">
        <f>IF(AM72&gt;0,SQRT(SUM(AO65:AO71))/AM72,0)</f>
        <v>0</v>
      </c>
      <c r="AO72" s="234">
        <f t="shared" si="213"/>
        <v>0</v>
      </c>
      <c r="AP72" s="228"/>
      <c r="AQ72" s="228"/>
      <c r="AR72" s="236"/>
      <c r="AS72" s="228"/>
      <c r="AT72" s="228"/>
      <c r="AU72" s="234">
        <f>SUM(AU65:AU71)</f>
        <v>0</v>
      </c>
      <c r="AV72" s="534">
        <f>IF(AU72&gt;0,SQRT(SUM(AW65:AW71))/AU72,0)</f>
        <v>0</v>
      </c>
      <c r="AW72" s="234">
        <f t="shared" si="244"/>
        <v>0</v>
      </c>
      <c r="AX72" s="228"/>
      <c r="AY72" s="228"/>
      <c r="AZ72" s="236"/>
      <c r="BA72" s="228"/>
      <c r="BB72" s="234">
        <f>SUM(BB65:BB71)</f>
        <v>0</v>
      </c>
      <c r="BC72" s="534">
        <f>IF(BB72&gt;0,SQRT(SUM(BD65:BD71))/BB72,0)</f>
        <v>0</v>
      </c>
      <c r="BD72" s="234">
        <f t="shared" si="215"/>
        <v>0</v>
      </c>
      <c r="BE72" s="228"/>
      <c r="BF72" s="228"/>
      <c r="BG72" s="236"/>
      <c r="BH72" s="228"/>
      <c r="BI72" s="234">
        <f>SUM(BI65:BI71)</f>
        <v>0</v>
      </c>
      <c r="BJ72" s="534">
        <f>IF(BI72&gt;0,SQRT(SUM(BK65:BK71))/BI72,0)</f>
        <v>0</v>
      </c>
      <c r="BK72" s="234">
        <f t="shared" si="216"/>
        <v>0</v>
      </c>
      <c r="BL72" s="228"/>
      <c r="BM72" s="228"/>
      <c r="BN72" s="232"/>
      <c r="BO72" s="238"/>
      <c r="BP72" s="239"/>
      <c r="BQ72" s="234">
        <f>SUM(BQ65:BQ71)</f>
        <v>0</v>
      </c>
      <c r="BR72" s="534">
        <f>IF(BQ72&gt;0,SQRT(SUM(BS65:BS71))/BQ72,0)</f>
        <v>0</v>
      </c>
      <c r="BS72" s="234">
        <f t="shared" si="217"/>
        <v>0</v>
      </c>
      <c r="BT72" s="228"/>
      <c r="BU72" s="228"/>
      <c r="BV72" s="232"/>
      <c r="BW72" s="238"/>
      <c r="BX72" s="234">
        <f>SUM(BX65:BX71)</f>
        <v>0</v>
      </c>
      <c r="BY72" s="534">
        <f>IF(BX72&gt;0,SQRT(SUM(BZ65:BZ71))/BX72,0)</f>
        <v>0</v>
      </c>
      <c r="BZ72" s="234">
        <f t="shared" si="218"/>
        <v>0</v>
      </c>
      <c r="CA72" s="234">
        <f>SUM(CA65:CA71)</f>
        <v>0</v>
      </c>
      <c r="CB72" s="535">
        <f>IF(CA72&gt;0,SQRT(SUM(CC65:CC71))/CA72,0)</f>
        <v>0</v>
      </c>
      <c r="CC72" s="38">
        <f t="shared" si="219"/>
        <v>0</v>
      </c>
    </row>
    <row r="73" spans="1:81" ht="15.4">
      <c r="B73" s="242" t="s">
        <v>118</v>
      </c>
      <c r="C73" s="243"/>
      <c r="D73" s="243"/>
      <c r="E73" s="244"/>
      <c r="F73" s="244"/>
      <c r="G73" s="244"/>
      <c r="H73" s="244"/>
      <c r="I73" s="244"/>
      <c r="J73" s="244"/>
      <c r="K73" s="244"/>
      <c r="L73" s="244"/>
      <c r="M73" s="244"/>
      <c r="N73" s="244"/>
      <c r="O73" s="244"/>
      <c r="P73" s="244"/>
      <c r="Q73" s="244"/>
      <c r="R73" s="244"/>
      <c r="S73" s="244"/>
      <c r="T73" s="244"/>
      <c r="U73" s="244"/>
      <c r="V73" s="244"/>
      <c r="W73" s="244"/>
      <c r="X73" s="246"/>
      <c r="Y73" s="244"/>
      <c r="Z73" s="244"/>
      <c r="AA73" s="244"/>
      <c r="AB73" s="247"/>
      <c r="AC73" s="244"/>
      <c r="AD73" s="248"/>
      <c r="AE73" s="249">
        <f>+AE59+AE72+AE64</f>
        <v>0</v>
      </c>
      <c r="AF73" s="250">
        <f>IF(AE73&gt;0,(SQRT(AG59+AG72+AG64))/AE73,0)</f>
        <v>0</v>
      </c>
      <c r="AG73" s="249">
        <f t="shared" si="243"/>
        <v>0</v>
      </c>
      <c r="AH73" s="251"/>
      <c r="AI73" s="244"/>
      <c r="AJ73" s="252"/>
      <c r="AK73" s="244"/>
      <c r="AL73" s="253"/>
      <c r="AM73" s="249">
        <f>+AM59+AM48+AM64+AM28</f>
        <v>0</v>
      </c>
      <c r="AN73" s="250">
        <f>IF(AM73&gt;0,(SQRT(AO59+AO72+AO64))/AM73,0)</f>
        <v>0</v>
      </c>
      <c r="AO73" s="249">
        <f t="shared" si="213"/>
        <v>0</v>
      </c>
      <c r="AP73" s="244"/>
      <c r="AQ73" s="244"/>
      <c r="AR73" s="252"/>
      <c r="AS73" s="244"/>
      <c r="AT73" s="244"/>
      <c r="AU73" s="249">
        <f>+AU59+AU48+AU64+AU28</f>
        <v>0</v>
      </c>
      <c r="AV73" s="250">
        <f>IF(AU73&gt;0,(SQRT(AW59+AW72+AW64))/AU73,0)</f>
        <v>0</v>
      </c>
      <c r="AW73" s="249">
        <f t="shared" si="244"/>
        <v>0</v>
      </c>
      <c r="AX73" s="244"/>
      <c r="AY73" s="244"/>
      <c r="AZ73" s="252"/>
      <c r="BA73" s="244"/>
      <c r="BB73" s="249">
        <f>+BB59+BB48+BB64+BB28</f>
        <v>0</v>
      </c>
      <c r="BC73" s="250">
        <f>IF(BB73&gt;0,(SQRT(BD59+BD72+BD64))/BB73,0)</f>
        <v>0</v>
      </c>
      <c r="BD73" s="249">
        <f t="shared" si="215"/>
        <v>0</v>
      </c>
      <c r="BE73" s="244"/>
      <c r="BF73" s="244"/>
      <c r="BG73" s="252"/>
      <c r="BH73" s="244"/>
      <c r="BI73" s="249">
        <f>+BI59+BI48+BI64+BI28</f>
        <v>0</v>
      </c>
      <c r="BJ73" s="250">
        <f>IF(BI73&gt;0,(SQRT(BK59+BK72+BK64))/BI73,0)</f>
        <v>0</v>
      </c>
      <c r="BK73" s="249">
        <f t="shared" si="216"/>
        <v>0</v>
      </c>
      <c r="BL73" s="244"/>
      <c r="BM73" s="244"/>
      <c r="BN73" s="247"/>
      <c r="BO73" s="254"/>
      <c r="BP73" s="255"/>
      <c r="BQ73" s="249">
        <f>+BQ59+BQ48+BQ64+BQ28</f>
        <v>0</v>
      </c>
      <c r="BR73" s="250">
        <f>IF(BQ73&gt;0,(SQRT(BS59+BS72+BS64))/BQ73,0)</f>
        <v>0</v>
      </c>
      <c r="BS73" s="249">
        <f t="shared" si="217"/>
        <v>0</v>
      </c>
      <c r="BT73" s="244"/>
      <c r="BU73" s="244"/>
      <c r="BV73" s="247"/>
      <c r="BW73" s="254"/>
      <c r="BX73" s="249">
        <f>+BX59+BX48+BX64+BX28</f>
        <v>0</v>
      </c>
      <c r="BY73" s="250">
        <f>IF(BX73&gt;0,(SQRT(BZ59+BZ72+BZ64))/BX73,0)</f>
        <v>0</v>
      </c>
      <c r="BZ73" s="249">
        <f t="shared" si="218"/>
        <v>0</v>
      </c>
      <c r="CA73" s="249">
        <f>+CA59+CA72+CA64</f>
        <v>0</v>
      </c>
      <c r="CB73" s="256">
        <f>IF(CA73&gt;0,(SQRT(CC59+CC72+CC64))/CA73,0)</f>
        <v>0</v>
      </c>
      <c r="CC73" s="38">
        <f t="shared" si="219"/>
        <v>0</v>
      </c>
    </row>
    <row r="74" spans="1:81" s="20" customFormat="1" ht="15.4">
      <c r="B74" s="257"/>
      <c r="C74" s="258"/>
      <c r="D74" s="258"/>
      <c r="E74" s="259"/>
      <c r="F74" s="259"/>
      <c r="G74" s="259"/>
      <c r="H74" s="259"/>
      <c r="I74" s="259"/>
      <c r="J74" s="259"/>
      <c r="K74" s="259"/>
      <c r="L74" s="259"/>
      <c r="M74" s="259"/>
      <c r="N74" s="259"/>
      <c r="O74" s="259"/>
      <c r="P74" s="259"/>
      <c r="Q74" s="259"/>
      <c r="R74" s="259"/>
      <c r="S74" s="259"/>
      <c r="T74" s="259"/>
      <c r="U74" s="259"/>
      <c r="V74" s="259"/>
      <c r="W74" s="259"/>
      <c r="X74" s="260"/>
      <c r="Y74" s="259"/>
      <c r="Z74" s="259"/>
      <c r="AA74" s="259"/>
      <c r="AB74" s="261"/>
      <c r="AC74" s="259"/>
      <c r="AD74" s="262"/>
      <c r="AE74" s="263"/>
      <c r="AF74" s="264"/>
      <c r="AG74" s="263"/>
      <c r="AH74" s="265"/>
      <c r="AI74" s="259"/>
      <c r="AJ74" s="266"/>
      <c r="AK74" s="259"/>
      <c r="AL74" s="267"/>
      <c r="AM74" s="263"/>
      <c r="AN74" s="264"/>
      <c r="AO74" s="263"/>
      <c r="AP74" s="259"/>
      <c r="AQ74" s="259"/>
      <c r="AR74" s="266"/>
      <c r="AS74" s="259"/>
      <c r="AT74" s="259"/>
      <c r="AU74" s="263"/>
      <c r="AV74" s="264"/>
      <c r="AW74" s="263"/>
      <c r="AX74" s="259"/>
      <c r="AY74" s="259"/>
      <c r="AZ74" s="266"/>
      <c r="BA74" s="259"/>
      <c r="BB74" s="263"/>
      <c r="BC74" s="264"/>
      <c r="BD74" s="263"/>
      <c r="BE74" s="259"/>
      <c r="BF74" s="259"/>
      <c r="BG74" s="266"/>
      <c r="BH74" s="259"/>
      <c r="BI74" s="263"/>
      <c r="BJ74" s="264"/>
      <c r="BK74" s="263"/>
      <c r="BL74" s="259"/>
      <c r="BM74" s="259"/>
      <c r="BN74" s="261"/>
      <c r="BO74" s="268"/>
      <c r="BP74" s="269"/>
      <c r="BQ74" s="263"/>
      <c r="BR74" s="264"/>
      <c r="BS74" s="263"/>
      <c r="BT74" s="259"/>
      <c r="BU74" s="259"/>
      <c r="BV74" s="261"/>
      <c r="BW74" s="268"/>
      <c r="BX74" s="263"/>
      <c r="BY74" s="264"/>
      <c r="BZ74" s="263"/>
      <c r="CA74" s="263"/>
      <c r="CB74" s="270"/>
      <c r="CC74" s="38"/>
    </row>
    <row r="75" spans="1:81" ht="24.75" customHeight="1">
      <c r="B75" s="764" t="s">
        <v>119</v>
      </c>
      <c r="C75" s="765"/>
      <c r="D75" s="765"/>
      <c r="E75" s="765"/>
      <c r="F75" s="765"/>
      <c r="G75" s="765"/>
      <c r="H75" s="765"/>
      <c r="I75" s="765"/>
      <c r="J75" s="765"/>
      <c r="K75" s="765"/>
      <c r="L75" s="765"/>
      <c r="M75" s="765"/>
      <c r="N75" s="765"/>
      <c r="O75" s="765"/>
      <c r="P75" s="765"/>
      <c r="Q75" s="765"/>
      <c r="R75" s="765"/>
      <c r="S75" s="765"/>
      <c r="T75" s="765"/>
      <c r="U75" s="765"/>
      <c r="V75" s="765"/>
      <c r="W75" s="765"/>
      <c r="X75" s="765"/>
      <c r="Y75" s="765"/>
      <c r="Z75" s="765"/>
      <c r="AA75" s="765"/>
      <c r="AB75" s="765"/>
      <c r="AC75" s="765"/>
      <c r="AD75" s="765"/>
      <c r="AE75" s="765"/>
      <c r="AF75" s="765"/>
      <c r="AG75" s="765"/>
      <c r="AH75" s="765"/>
      <c r="AI75" s="765"/>
      <c r="AJ75" s="765"/>
      <c r="AK75" s="765"/>
      <c r="AL75" s="765"/>
      <c r="AM75" s="765"/>
      <c r="AN75" s="765"/>
      <c r="AO75" s="765"/>
      <c r="AP75" s="765"/>
      <c r="AQ75" s="765"/>
      <c r="AR75" s="765"/>
      <c r="AS75" s="765"/>
      <c r="AT75" s="765"/>
      <c r="AU75" s="765"/>
      <c r="AV75" s="765"/>
      <c r="AW75" s="765"/>
      <c r="AX75" s="765"/>
      <c r="AY75" s="765"/>
      <c r="AZ75" s="765"/>
      <c r="BA75" s="765"/>
      <c r="BB75" s="765"/>
      <c r="BC75" s="765"/>
      <c r="BD75" s="765"/>
      <c r="BE75" s="765"/>
      <c r="BF75" s="765"/>
      <c r="BG75" s="765"/>
      <c r="BH75" s="765"/>
      <c r="BI75" s="765"/>
      <c r="BJ75" s="765"/>
      <c r="BK75" s="765"/>
      <c r="BL75" s="765"/>
      <c r="BM75" s="765"/>
      <c r="BN75" s="765"/>
      <c r="BO75" s="765"/>
      <c r="BP75" s="765"/>
      <c r="BQ75" s="765"/>
      <c r="BR75" s="765"/>
      <c r="BS75" s="765"/>
      <c r="BT75" s="765"/>
      <c r="BU75" s="765"/>
      <c r="BV75" s="765"/>
      <c r="BW75" s="765"/>
      <c r="BX75" s="765"/>
      <c r="BY75" s="765"/>
      <c r="BZ75" s="765"/>
      <c r="CA75" s="765"/>
      <c r="CB75" s="766"/>
    </row>
    <row r="76" spans="1:81" s="29" customFormat="1" ht="49.5" customHeight="1">
      <c r="A76" s="20"/>
      <c r="B76" s="747" t="s">
        <v>120</v>
      </c>
      <c r="C76" s="760" t="s">
        <v>121</v>
      </c>
      <c r="D76" s="760" t="s">
        <v>122</v>
      </c>
      <c r="E76" s="760" t="s">
        <v>123</v>
      </c>
      <c r="F76" s="760" t="s">
        <v>124</v>
      </c>
      <c r="G76" s="760"/>
      <c r="H76" s="760"/>
      <c r="I76" s="760"/>
      <c r="J76" s="760" t="s">
        <v>125</v>
      </c>
      <c r="K76" s="760"/>
      <c r="L76" s="760"/>
      <c r="M76" s="760"/>
      <c r="N76" s="760"/>
      <c r="O76" s="760"/>
      <c r="P76" s="760"/>
      <c r="Q76" s="760"/>
      <c r="R76" s="760"/>
      <c r="S76" s="566"/>
      <c r="T76" s="566"/>
      <c r="U76" s="566"/>
      <c r="V76" s="566"/>
      <c r="W76" s="566"/>
      <c r="X76" s="566"/>
      <c r="Y76" s="566"/>
      <c r="Z76" s="767" t="s">
        <v>126</v>
      </c>
      <c r="AA76" s="768"/>
      <c r="AB76" s="768"/>
      <c r="AC76" s="769"/>
      <c r="AD76" s="563" t="s">
        <v>127</v>
      </c>
      <c r="AE76" s="563" t="s">
        <v>21</v>
      </c>
      <c r="AF76" s="761"/>
      <c r="AG76" s="228"/>
      <c r="AH76" s="761"/>
      <c r="AI76" s="761"/>
      <c r="AJ76" s="761"/>
      <c r="AK76" s="761"/>
      <c r="AL76" s="761"/>
      <c r="AM76" s="761"/>
      <c r="AN76" s="761"/>
      <c r="AO76" s="761"/>
      <c r="AP76" s="761"/>
      <c r="AQ76" s="761"/>
      <c r="AR76" s="761"/>
      <c r="AS76" s="761"/>
      <c r="AT76" s="761"/>
      <c r="AU76" s="761"/>
      <c r="AV76" s="761"/>
      <c r="AW76" s="761"/>
      <c r="AX76" s="761"/>
      <c r="AY76" s="761"/>
      <c r="AZ76" s="761"/>
      <c r="BA76" s="761"/>
      <c r="BB76" s="761"/>
      <c r="BC76" s="761"/>
      <c r="BD76" s="761"/>
      <c r="BE76" s="761"/>
      <c r="BF76" s="761"/>
      <c r="BG76" s="761"/>
      <c r="BH76" s="761"/>
      <c r="BI76" s="761"/>
      <c r="BJ76" s="761"/>
      <c r="BK76" s="761"/>
      <c r="BL76" s="761"/>
      <c r="BM76" s="761"/>
      <c r="BN76" s="761"/>
      <c r="BO76" s="761"/>
      <c r="BP76" s="761"/>
      <c r="BQ76" s="761"/>
      <c r="BR76" s="761"/>
      <c r="BS76" s="761"/>
      <c r="BT76" s="761"/>
      <c r="BU76" s="761"/>
      <c r="BV76" s="761"/>
      <c r="BW76" s="761"/>
      <c r="BX76" s="761"/>
      <c r="BY76" s="761"/>
      <c r="BZ76" s="761"/>
      <c r="CA76" s="696" t="s">
        <v>102</v>
      </c>
      <c r="CB76" s="756" t="s">
        <v>29</v>
      </c>
      <c r="CC76" s="38"/>
    </row>
    <row r="77" spans="1:81" s="29" customFormat="1" ht="75" customHeight="1">
      <c r="A77" s="20"/>
      <c r="B77" s="748"/>
      <c r="C77" s="760"/>
      <c r="D77" s="760"/>
      <c r="E77" s="760"/>
      <c r="F77" s="207" t="s">
        <v>128</v>
      </c>
      <c r="G77" s="207" t="s">
        <v>129</v>
      </c>
      <c r="H77" s="207" t="s">
        <v>130</v>
      </c>
      <c r="I77" s="207" t="s">
        <v>131</v>
      </c>
      <c r="J77" s="207" t="s">
        <v>129</v>
      </c>
      <c r="K77" s="207" t="s">
        <v>132</v>
      </c>
      <c r="L77" s="207" t="s">
        <v>129</v>
      </c>
      <c r="M77" s="207" t="s">
        <v>133</v>
      </c>
      <c r="N77" s="207" t="s">
        <v>134</v>
      </c>
      <c r="O77" s="207" t="s">
        <v>135</v>
      </c>
      <c r="P77" s="207" t="s">
        <v>129</v>
      </c>
      <c r="Q77" s="207" t="s">
        <v>136</v>
      </c>
      <c r="R77" s="565"/>
      <c r="S77" s="207"/>
      <c r="T77" s="207"/>
      <c r="U77" s="207"/>
      <c r="V77" s="207"/>
      <c r="W77" s="207"/>
      <c r="X77" s="207"/>
      <c r="Y77" s="209"/>
      <c r="Z77" s="751" t="s">
        <v>137</v>
      </c>
      <c r="AA77" s="751"/>
      <c r="AB77" s="627" t="s">
        <v>138</v>
      </c>
      <c r="AC77" s="626" t="s">
        <v>139</v>
      </c>
      <c r="AD77" s="628" t="s">
        <v>140</v>
      </c>
      <c r="AE77" s="211" t="s">
        <v>141</v>
      </c>
      <c r="AF77" s="761"/>
      <c r="AG77" s="211" t="s">
        <v>54</v>
      </c>
      <c r="AH77" s="696"/>
      <c r="AI77" s="696"/>
      <c r="AJ77" s="210"/>
      <c r="AK77" s="209"/>
      <c r="AL77" s="212"/>
      <c r="AM77" s="212"/>
      <c r="AN77" s="209"/>
      <c r="AO77" s="211"/>
      <c r="AP77" s="696"/>
      <c r="AQ77" s="696"/>
      <c r="AR77" s="210"/>
      <c r="AS77" s="209"/>
      <c r="AT77" s="207"/>
      <c r="AU77" s="207"/>
      <c r="AV77" s="209"/>
      <c r="AW77" s="211"/>
      <c r="AX77" s="696"/>
      <c r="AY77" s="696"/>
      <c r="AZ77" s="210"/>
      <c r="BA77" s="209"/>
      <c r="BB77" s="211"/>
      <c r="BC77" s="209"/>
      <c r="BD77" s="211"/>
      <c r="BE77" s="696"/>
      <c r="BF77" s="696"/>
      <c r="BG77" s="210"/>
      <c r="BH77" s="209"/>
      <c r="BI77" s="211"/>
      <c r="BJ77" s="209"/>
      <c r="BK77" s="211"/>
      <c r="BL77" s="696"/>
      <c r="BM77" s="696"/>
      <c r="BN77" s="210"/>
      <c r="BO77" s="209"/>
      <c r="BP77" s="211"/>
      <c r="BQ77" s="211"/>
      <c r="BR77" s="209"/>
      <c r="BS77" s="211"/>
      <c r="BT77" s="696"/>
      <c r="BU77" s="696"/>
      <c r="BV77" s="210"/>
      <c r="BW77" s="209"/>
      <c r="BX77" s="211"/>
      <c r="BY77" s="209"/>
      <c r="BZ77" s="211"/>
      <c r="CA77" s="696"/>
      <c r="CB77" s="756"/>
      <c r="CC77" s="38" t="s">
        <v>82</v>
      </c>
    </row>
    <row r="78" spans="1:81" ht="15.4">
      <c r="B78" s="712" t="s">
        <v>142</v>
      </c>
      <c r="C78" s="214"/>
      <c r="D78" s="214"/>
      <c r="E78" s="215"/>
      <c r="F78" s="214"/>
      <c r="G78" s="216" t="s">
        <v>143</v>
      </c>
      <c r="H78" s="216"/>
      <c r="I78" s="214"/>
      <c r="J78" s="216" t="s">
        <v>144</v>
      </c>
      <c r="K78" s="630" t="str">
        <f>IFERROR(VLOOKUP(EG123,DZ124:EA150,2,FALSE),"0.00")</f>
        <v>0.00</v>
      </c>
      <c r="L78" s="216" t="s">
        <v>144</v>
      </c>
      <c r="M78" s="630" t="str">
        <f t="shared" ref="M78:M83" si="245">IF(I78=0,K78,I78)</f>
        <v>0.00</v>
      </c>
      <c r="N78" s="630" t="str">
        <f>IFERROR(VLOOKUP($EG$123,$DZ$124:$ED$153,3,FALSE),"0.00")</f>
        <v>0.00</v>
      </c>
      <c r="O78" s="630" t="str">
        <f>IFERROR(VLOOKUP($EG$123,$DZ$124:$ED$153,4,FALSE),"0.00")</f>
        <v>0.00</v>
      </c>
      <c r="P78" s="216" t="s">
        <v>145</v>
      </c>
      <c r="Q78" s="630" t="str">
        <f>IFERROR(VLOOKUP($EG$123,$DZ$124:$ED$153,5,FALSE),"0.00")</f>
        <v>0.00</v>
      </c>
      <c r="R78" s="565"/>
      <c r="S78" s="207"/>
      <c r="T78" s="207"/>
      <c r="U78" s="207"/>
      <c r="V78" s="207"/>
      <c r="W78" s="207"/>
      <c r="X78" s="207"/>
      <c r="Y78" s="207"/>
      <c r="Z78" s="752">
        <f t="shared" ref="Z78:Z83" si="246">M78*N78</f>
        <v>0</v>
      </c>
      <c r="AA78" s="752"/>
      <c r="AB78" s="603">
        <f t="shared" ref="AB78:AB83" si="247">M78+Z78</f>
        <v>0</v>
      </c>
      <c r="AC78" s="604">
        <f t="shared" ref="AC78:AC83" si="248">AB78+O78</f>
        <v>0</v>
      </c>
      <c r="AD78" s="604">
        <f t="shared" ref="AD78:AD83" si="249">F78*AC78*Q78</f>
        <v>0</v>
      </c>
      <c r="AE78" s="604">
        <f>AD78*(44/12)</f>
        <v>0</v>
      </c>
      <c r="AF78" s="761"/>
      <c r="AG78" s="536">
        <f>IF(AE78&gt;0,SQRT(($Y78*$Y78)+(AD78*AD78)),0)</f>
        <v>0</v>
      </c>
      <c r="AH78" s="250"/>
      <c r="AI78" s="250"/>
      <c r="AJ78" s="250"/>
      <c r="AK78" s="250"/>
      <c r="AL78" s="250"/>
      <c r="AM78" s="250"/>
      <c r="AN78" s="250"/>
      <c r="AO78" s="250"/>
      <c r="AP78" s="250"/>
      <c r="AQ78" s="250"/>
      <c r="AR78" s="250"/>
      <c r="AS78" s="250"/>
      <c r="AT78" s="250"/>
      <c r="AU78" s="250"/>
      <c r="AV78" s="250"/>
      <c r="AW78" s="250"/>
      <c r="AX78" s="250"/>
      <c r="AY78" s="250"/>
      <c r="AZ78" s="250"/>
      <c r="BA78" s="250"/>
      <c r="BB78" s="250"/>
      <c r="BC78" s="250"/>
      <c r="BD78" s="250"/>
      <c r="BE78" s="250"/>
      <c r="BF78" s="250"/>
      <c r="BG78" s="250"/>
      <c r="BH78" s="250"/>
      <c r="BI78" s="250"/>
      <c r="BJ78" s="250"/>
      <c r="BK78" s="250"/>
      <c r="BL78" s="250"/>
      <c r="BM78" s="250"/>
      <c r="BN78" s="250"/>
      <c r="BO78" s="250"/>
      <c r="BP78" s="250"/>
      <c r="BQ78" s="250"/>
      <c r="BR78" s="250"/>
      <c r="BS78" s="250"/>
      <c r="BT78" s="250"/>
      <c r="BU78" s="250"/>
      <c r="BV78" s="250"/>
      <c r="BW78" s="250"/>
      <c r="BX78" s="250"/>
      <c r="BY78" s="250"/>
      <c r="BZ78" s="538"/>
      <c r="CA78" s="217">
        <f>AE78</f>
        <v>0</v>
      </c>
      <c r="CB78" s="541"/>
      <c r="CC78" s="38">
        <f t="shared" si="50"/>
        <v>0</v>
      </c>
    </row>
    <row r="79" spans="1:81" ht="15.4">
      <c r="B79" s="712"/>
      <c r="C79" s="214"/>
      <c r="D79" s="214"/>
      <c r="E79" s="215"/>
      <c r="F79" s="214"/>
      <c r="G79" s="216" t="s">
        <v>143</v>
      </c>
      <c r="H79" s="216"/>
      <c r="I79" s="454"/>
      <c r="J79" s="216" t="s">
        <v>144</v>
      </c>
      <c r="K79" s="630" t="str">
        <f>IFERROR(VLOOKUP(EG124,DZ124:EA150,2,FALSE),"0.00")</f>
        <v>0.00</v>
      </c>
      <c r="L79" s="216" t="s">
        <v>144</v>
      </c>
      <c r="M79" s="630" t="str">
        <f t="shared" si="245"/>
        <v>0.00</v>
      </c>
      <c r="N79" s="630" t="str">
        <f>IFERROR(VLOOKUP($EG$124,$DZ$124:$ED$153,3,FALSE),"0.00")</f>
        <v>0.00</v>
      </c>
      <c r="O79" s="630" t="str">
        <f>IFERROR(VLOOKUP($EG$124,$DZ$124:$ED$153,4,FALSE),"0.00")</f>
        <v>0.00</v>
      </c>
      <c r="P79" s="216" t="s">
        <v>145</v>
      </c>
      <c r="Q79" s="630" t="str">
        <f>IFERROR(VLOOKUP($EG$124,$DZ$124:$ED$153,5,FALSE),"0.00")</f>
        <v>0.00</v>
      </c>
      <c r="R79" s="565"/>
      <c r="S79" s="207"/>
      <c r="T79" s="207"/>
      <c r="U79" s="207"/>
      <c r="V79" s="207"/>
      <c r="W79" s="207"/>
      <c r="X79" s="207"/>
      <c r="Y79" s="207"/>
      <c r="Z79" s="752">
        <f t="shared" si="246"/>
        <v>0</v>
      </c>
      <c r="AA79" s="752"/>
      <c r="AB79" s="603">
        <f t="shared" si="247"/>
        <v>0</v>
      </c>
      <c r="AC79" s="604">
        <f>AB79+O79</f>
        <v>0</v>
      </c>
      <c r="AD79" s="604">
        <f t="shared" si="249"/>
        <v>0</v>
      </c>
      <c r="AE79" s="604">
        <f t="shared" ref="AE79:AE83" si="250">AD79*(44/12)</f>
        <v>0</v>
      </c>
      <c r="AF79" s="761"/>
      <c r="AG79" s="536">
        <f>IF(AE79&gt;0,SQRT(($Y79*$Y79)+(AD79*AD79)),0)</f>
        <v>0</v>
      </c>
      <c r="AH79" s="250"/>
      <c r="AI79" s="250"/>
      <c r="AJ79" s="250"/>
      <c r="AK79" s="250"/>
      <c r="AL79" s="250"/>
      <c r="AM79" s="250"/>
      <c r="AN79" s="250"/>
      <c r="AO79" s="250"/>
      <c r="AP79" s="250"/>
      <c r="AQ79" s="250"/>
      <c r="AR79" s="250"/>
      <c r="AS79" s="250"/>
      <c r="AT79" s="250"/>
      <c r="AU79" s="250"/>
      <c r="AV79" s="250"/>
      <c r="AW79" s="250"/>
      <c r="AX79" s="250"/>
      <c r="AY79" s="250"/>
      <c r="AZ79" s="250"/>
      <c r="BA79" s="250"/>
      <c r="BB79" s="250"/>
      <c r="BC79" s="250"/>
      <c r="BD79" s="250"/>
      <c r="BE79" s="250"/>
      <c r="BF79" s="250"/>
      <c r="BG79" s="250"/>
      <c r="BH79" s="250"/>
      <c r="BI79" s="250"/>
      <c r="BJ79" s="250"/>
      <c r="BK79" s="250"/>
      <c r="BL79" s="250"/>
      <c r="BM79" s="250"/>
      <c r="BN79" s="250"/>
      <c r="BO79" s="250"/>
      <c r="BP79" s="250"/>
      <c r="BQ79" s="250"/>
      <c r="BR79" s="250"/>
      <c r="BS79" s="250"/>
      <c r="BT79" s="250"/>
      <c r="BU79" s="250"/>
      <c r="BV79" s="250"/>
      <c r="BW79" s="250"/>
      <c r="BX79" s="250"/>
      <c r="BY79" s="250"/>
      <c r="BZ79" s="538"/>
      <c r="CA79" s="217">
        <f t="shared" ref="CA79:CA83" si="251">AE79</f>
        <v>0</v>
      </c>
      <c r="CB79" s="541"/>
      <c r="CC79" s="38">
        <f t="shared" ref="CC79:CC80" si="252">(CA79*CB79)^2</f>
        <v>0</v>
      </c>
    </row>
    <row r="80" spans="1:81" ht="15.4">
      <c r="B80" s="712"/>
      <c r="C80" s="214"/>
      <c r="D80" s="214"/>
      <c r="E80" s="215"/>
      <c r="F80" s="214"/>
      <c r="G80" s="216" t="s">
        <v>143</v>
      </c>
      <c r="H80" s="216"/>
      <c r="I80" s="454"/>
      <c r="J80" s="216" t="s">
        <v>144</v>
      </c>
      <c r="K80" s="630" t="str">
        <f>IFERROR(VLOOKUP(EG126,DZ124:EA150,2,FALSE),"0.00")</f>
        <v>0.00</v>
      </c>
      <c r="L80" s="216" t="s">
        <v>144</v>
      </c>
      <c r="M80" s="630" t="str">
        <f t="shared" si="245"/>
        <v>0.00</v>
      </c>
      <c r="N80" s="630" t="str">
        <f>IFERROR(VLOOKUP($EG$125,$DZ$124:$ED$153,3,FALSE),"0.00")</f>
        <v>0.00</v>
      </c>
      <c r="O80" s="630" t="str">
        <f>IFERROR(VLOOKUP($EG$125,$DZ$124:$ED$153,4,FALSE),"0.00")</f>
        <v>0.00</v>
      </c>
      <c r="P80" s="216" t="s">
        <v>145</v>
      </c>
      <c r="Q80" s="630" t="str">
        <f>IFERROR(VLOOKUP($EG$125,$DZ$124:$ED$153,5,FALSE),"0.00")</f>
        <v>0.00</v>
      </c>
      <c r="R80" s="565"/>
      <c r="S80" s="207"/>
      <c r="T80" s="207"/>
      <c r="U80" s="207"/>
      <c r="V80" s="207"/>
      <c r="W80" s="207"/>
      <c r="X80" s="207"/>
      <c r="Y80" s="207"/>
      <c r="Z80" s="752">
        <f>M80*N80</f>
        <v>0</v>
      </c>
      <c r="AA80" s="752"/>
      <c r="AB80" s="603">
        <f t="shared" si="247"/>
        <v>0</v>
      </c>
      <c r="AC80" s="604">
        <f t="shared" si="248"/>
        <v>0</v>
      </c>
      <c r="AD80" s="604">
        <f t="shared" si="249"/>
        <v>0</v>
      </c>
      <c r="AE80" s="604">
        <f t="shared" si="250"/>
        <v>0</v>
      </c>
      <c r="AF80" s="761"/>
      <c r="AG80" s="536">
        <f>IF(AE80&gt;0,SQRT(($Y80*$Y80)+(AD80*AD80)),0)</f>
        <v>0</v>
      </c>
      <c r="AH80" s="250"/>
      <c r="AI80" s="250"/>
      <c r="AJ80" s="250"/>
      <c r="AK80" s="250"/>
      <c r="AL80" s="250"/>
      <c r="AM80" s="250"/>
      <c r="AN80" s="250"/>
      <c r="AO80" s="250"/>
      <c r="AP80" s="250"/>
      <c r="AQ80" s="250"/>
      <c r="AR80" s="250"/>
      <c r="AS80" s="250"/>
      <c r="AT80" s="250"/>
      <c r="AU80" s="250"/>
      <c r="AV80" s="250"/>
      <c r="AW80" s="250"/>
      <c r="AX80" s="250"/>
      <c r="AY80" s="250"/>
      <c r="AZ80" s="250"/>
      <c r="BA80" s="250"/>
      <c r="BB80" s="250"/>
      <c r="BC80" s="250"/>
      <c r="BD80" s="250"/>
      <c r="BE80" s="250"/>
      <c r="BF80" s="250"/>
      <c r="BG80" s="250"/>
      <c r="BH80" s="250"/>
      <c r="BI80" s="250"/>
      <c r="BJ80" s="250"/>
      <c r="BK80" s="250"/>
      <c r="BL80" s="250"/>
      <c r="BM80" s="250"/>
      <c r="BN80" s="250"/>
      <c r="BO80" s="250"/>
      <c r="BP80" s="250"/>
      <c r="BQ80" s="250"/>
      <c r="BR80" s="250"/>
      <c r="BS80" s="250"/>
      <c r="BT80" s="250"/>
      <c r="BU80" s="250"/>
      <c r="BV80" s="250"/>
      <c r="BW80" s="250"/>
      <c r="BX80" s="250"/>
      <c r="BY80" s="250"/>
      <c r="BZ80" s="538"/>
      <c r="CA80" s="217">
        <f t="shared" si="251"/>
        <v>0</v>
      </c>
      <c r="CB80" s="541"/>
      <c r="CC80" s="38">
        <f t="shared" si="252"/>
        <v>0</v>
      </c>
    </row>
    <row r="81" spans="1:81" ht="15.4">
      <c r="B81" s="712"/>
      <c r="C81" s="630" t="s">
        <v>146</v>
      </c>
      <c r="D81" s="214"/>
      <c r="E81" s="214"/>
      <c r="F81" s="630">
        <v>1</v>
      </c>
      <c r="G81" s="216" t="s">
        <v>143</v>
      </c>
      <c r="H81" s="216"/>
      <c r="I81" s="454"/>
      <c r="J81" s="216" t="s">
        <v>144</v>
      </c>
      <c r="K81" s="630" t="str">
        <f>IFERROR(VLOOKUP(EG127,DZ125:EA151,2,FALSE),"0.00")</f>
        <v>0.00</v>
      </c>
      <c r="L81" s="216" t="s">
        <v>144</v>
      </c>
      <c r="M81" s="630" t="str">
        <f t="shared" si="245"/>
        <v>0.00</v>
      </c>
      <c r="N81" s="630" t="str">
        <f>IFERROR(VLOOKUP($EG$126,$DZ$124:$ED$153,3,FALSE),"0.00")</f>
        <v>0.00</v>
      </c>
      <c r="O81" s="630" t="str">
        <f>IFERROR(VLOOKUP($EG$126,$DZ$124:$ED$153,4,FALSE),"0.00")</f>
        <v>0.00</v>
      </c>
      <c r="P81" s="216" t="s">
        <v>145</v>
      </c>
      <c r="Q81" s="630" t="str">
        <f>IFERROR(VLOOKUP($EG$126,$DZ$124:$ED$153,5,FALSE),"0.00")</f>
        <v>0.00</v>
      </c>
      <c r="R81" s="565"/>
      <c r="S81" s="207"/>
      <c r="T81" s="207"/>
      <c r="U81" s="207"/>
      <c r="V81" s="207"/>
      <c r="W81" s="207"/>
      <c r="X81" s="207"/>
      <c r="Y81" s="207"/>
      <c r="Z81" s="752">
        <f t="shared" si="246"/>
        <v>0</v>
      </c>
      <c r="AA81" s="752"/>
      <c r="AB81" s="603">
        <f t="shared" si="247"/>
        <v>0</v>
      </c>
      <c r="AC81" s="604">
        <f t="shared" si="248"/>
        <v>0</v>
      </c>
      <c r="AD81" s="604">
        <f t="shared" si="249"/>
        <v>0</v>
      </c>
      <c r="AE81" s="604">
        <f t="shared" ref="AE81" si="253">AD81*(44/12)</f>
        <v>0</v>
      </c>
      <c r="AF81" s="761"/>
      <c r="AG81" s="536"/>
      <c r="AH81" s="250"/>
      <c r="AI81" s="250"/>
      <c r="AJ81" s="250"/>
      <c r="AK81" s="250"/>
      <c r="AL81" s="250"/>
      <c r="AM81" s="250"/>
      <c r="AN81" s="250"/>
      <c r="AO81" s="250"/>
      <c r="AP81" s="250"/>
      <c r="AQ81" s="250"/>
      <c r="AR81" s="250"/>
      <c r="AS81" s="250"/>
      <c r="AT81" s="250"/>
      <c r="AU81" s="250"/>
      <c r="AV81" s="250"/>
      <c r="AW81" s="250"/>
      <c r="AX81" s="250"/>
      <c r="AY81" s="250"/>
      <c r="AZ81" s="250"/>
      <c r="BA81" s="250"/>
      <c r="BB81" s="250"/>
      <c r="BC81" s="250"/>
      <c r="BD81" s="250"/>
      <c r="BE81" s="250"/>
      <c r="BF81" s="250"/>
      <c r="BG81" s="250"/>
      <c r="BH81" s="250"/>
      <c r="BI81" s="250"/>
      <c r="BJ81" s="250"/>
      <c r="BK81" s="250"/>
      <c r="BL81" s="250"/>
      <c r="BM81" s="250"/>
      <c r="BN81" s="250"/>
      <c r="BO81" s="250"/>
      <c r="BP81" s="250"/>
      <c r="BQ81" s="250"/>
      <c r="BR81" s="250"/>
      <c r="BS81" s="250"/>
      <c r="BT81" s="250"/>
      <c r="BU81" s="250"/>
      <c r="BV81" s="250"/>
      <c r="BW81" s="250"/>
      <c r="BX81" s="250"/>
      <c r="BY81" s="250"/>
      <c r="BZ81" s="538"/>
      <c r="CA81" s="217"/>
      <c r="CB81" s="541"/>
    </row>
    <row r="82" spans="1:81" ht="15.4">
      <c r="B82" s="712"/>
      <c r="C82" s="630" t="s">
        <v>147</v>
      </c>
      <c r="D82" s="630" t="s">
        <v>147</v>
      </c>
      <c r="E82" s="215"/>
      <c r="F82" s="214"/>
      <c r="G82" s="216" t="s">
        <v>143</v>
      </c>
      <c r="H82" s="216"/>
      <c r="I82" s="631"/>
      <c r="J82" s="216" t="s">
        <v>144</v>
      </c>
      <c r="K82" s="630">
        <v>16</v>
      </c>
      <c r="L82" s="216" t="s">
        <v>144</v>
      </c>
      <c r="M82" s="630">
        <f t="shared" si="245"/>
        <v>16</v>
      </c>
      <c r="N82" s="630">
        <v>0</v>
      </c>
      <c r="O82" s="630" t="str">
        <f>IFERROR(VLOOKUP($EG$127,$DZ$124:$ED$153,4,FALSE),"0.00")</f>
        <v>0.00</v>
      </c>
      <c r="P82" s="216" t="s">
        <v>145</v>
      </c>
      <c r="Q82" s="630">
        <v>0.5</v>
      </c>
      <c r="R82" s="565"/>
      <c r="S82" s="207"/>
      <c r="T82" s="207"/>
      <c r="U82" s="207"/>
      <c r="V82" s="207"/>
      <c r="W82" s="207"/>
      <c r="X82" s="207"/>
      <c r="Y82" s="207"/>
      <c r="Z82" s="752">
        <f t="shared" si="246"/>
        <v>0</v>
      </c>
      <c r="AA82" s="752"/>
      <c r="AB82" s="603">
        <f t="shared" si="247"/>
        <v>16</v>
      </c>
      <c r="AC82" s="604">
        <f t="shared" si="248"/>
        <v>16</v>
      </c>
      <c r="AD82" s="604">
        <f t="shared" si="249"/>
        <v>0</v>
      </c>
      <c r="AE82" s="604">
        <f t="shared" si="250"/>
        <v>0</v>
      </c>
      <c r="AF82" s="761"/>
      <c r="AG82" s="536">
        <f>IF(AE82&gt;0,SQRT(($Y82*$Y82)+(AD82*AD82)),0)</f>
        <v>0</v>
      </c>
      <c r="AH82" s="250"/>
      <c r="AI82" s="250"/>
      <c r="AJ82" s="250"/>
      <c r="AK82" s="250"/>
      <c r="AL82" s="250"/>
      <c r="AM82" s="250"/>
      <c r="AN82" s="250"/>
      <c r="AO82" s="250"/>
      <c r="AP82" s="250"/>
      <c r="AQ82" s="250"/>
      <c r="AR82" s="250"/>
      <c r="AS82" s="250"/>
      <c r="AT82" s="250"/>
      <c r="AU82" s="250"/>
      <c r="AV82" s="250"/>
      <c r="AW82" s="250"/>
      <c r="AX82" s="250"/>
      <c r="AY82" s="250"/>
      <c r="AZ82" s="250"/>
      <c r="BA82" s="250"/>
      <c r="BB82" s="250"/>
      <c r="BC82" s="250"/>
      <c r="BD82" s="250"/>
      <c r="BE82" s="250"/>
      <c r="BF82" s="250"/>
      <c r="BG82" s="250"/>
      <c r="BH82" s="250"/>
      <c r="BI82" s="250"/>
      <c r="BJ82" s="250"/>
      <c r="BK82" s="250"/>
      <c r="BL82" s="250"/>
      <c r="BM82" s="250"/>
      <c r="BN82" s="250"/>
      <c r="BO82" s="250"/>
      <c r="BP82" s="250"/>
      <c r="BQ82" s="250"/>
      <c r="BR82" s="250"/>
      <c r="BS82" s="250"/>
      <c r="BT82" s="250"/>
      <c r="BU82" s="250"/>
      <c r="BV82" s="250"/>
      <c r="BW82" s="250"/>
      <c r="BX82" s="250"/>
      <c r="BY82" s="250"/>
      <c r="BZ82" s="538"/>
      <c r="CA82" s="217">
        <f t="shared" si="251"/>
        <v>0</v>
      </c>
      <c r="CB82" s="541"/>
      <c r="CC82" s="38">
        <f t="shared" si="50"/>
        <v>0</v>
      </c>
    </row>
    <row r="83" spans="1:81" ht="15.4">
      <c r="B83" s="712"/>
      <c r="C83" s="217" t="s">
        <v>148</v>
      </c>
      <c r="D83" s="217" t="s">
        <v>149</v>
      </c>
      <c r="E83" s="215"/>
      <c r="F83" s="630">
        <v>1</v>
      </c>
      <c r="G83" s="216" t="s">
        <v>143</v>
      </c>
      <c r="H83" s="216"/>
      <c r="I83" s="214"/>
      <c r="J83" s="216" t="s">
        <v>144</v>
      </c>
      <c r="K83" s="630" t="str">
        <f>IFERROR(VLOOKUP(EG128,DZ128:EA154,2,FALSE),"0.00")</f>
        <v>0.00</v>
      </c>
      <c r="L83" s="216" t="s">
        <v>144</v>
      </c>
      <c r="M83" s="630" t="str">
        <f t="shared" si="245"/>
        <v>0.00</v>
      </c>
      <c r="N83" s="630">
        <v>0.22</v>
      </c>
      <c r="O83" s="630" t="str">
        <f>IFERROR(VLOOKUP(EG128,DZ128:ED157,4,FALSE),"0.00")</f>
        <v>0.00</v>
      </c>
      <c r="P83" s="216" t="s">
        <v>145</v>
      </c>
      <c r="Q83" s="630">
        <v>0.49</v>
      </c>
      <c r="R83" s="565"/>
      <c r="S83" s="207"/>
      <c r="T83" s="207"/>
      <c r="U83" s="207"/>
      <c r="V83" s="207"/>
      <c r="W83" s="207"/>
      <c r="X83" s="207"/>
      <c r="Y83" s="207"/>
      <c r="Z83" s="752">
        <f t="shared" si="246"/>
        <v>0</v>
      </c>
      <c r="AA83" s="752"/>
      <c r="AB83" s="603">
        <f t="shared" si="247"/>
        <v>0</v>
      </c>
      <c r="AC83" s="604">
        <f t="shared" si="248"/>
        <v>0</v>
      </c>
      <c r="AD83" s="604">
        <f t="shared" si="249"/>
        <v>0</v>
      </c>
      <c r="AE83" s="604">
        <f t="shared" si="250"/>
        <v>0</v>
      </c>
      <c r="AF83" s="761"/>
      <c r="AG83" s="536">
        <f>IF(AE83&gt;0,SQRT(($Y83*$Y83)+(AD83*AD83)),0)</f>
        <v>0</v>
      </c>
      <c r="AH83" s="250"/>
      <c r="AI83" s="250"/>
      <c r="AJ83" s="250"/>
      <c r="AK83" s="250"/>
      <c r="AL83" s="250"/>
      <c r="AM83" s="250"/>
      <c r="AN83" s="250"/>
      <c r="AO83" s="250"/>
      <c r="AP83" s="250"/>
      <c r="AQ83" s="250"/>
      <c r="AR83" s="250"/>
      <c r="AS83" s="250"/>
      <c r="AT83" s="250"/>
      <c r="AU83" s="250"/>
      <c r="AV83" s="250"/>
      <c r="AW83" s="250"/>
      <c r="AX83" s="250"/>
      <c r="AY83" s="250"/>
      <c r="AZ83" s="250"/>
      <c r="BA83" s="250"/>
      <c r="BB83" s="250"/>
      <c r="BC83" s="250"/>
      <c r="BD83" s="250"/>
      <c r="BE83" s="250"/>
      <c r="BF83" s="250"/>
      <c r="BG83" s="250"/>
      <c r="BH83" s="250"/>
      <c r="BI83" s="250"/>
      <c r="BJ83" s="250"/>
      <c r="BK83" s="250"/>
      <c r="BL83" s="250"/>
      <c r="BM83" s="250"/>
      <c r="BN83" s="250"/>
      <c r="BO83" s="250"/>
      <c r="BP83" s="250"/>
      <c r="BQ83" s="250"/>
      <c r="BR83" s="250"/>
      <c r="BS83" s="250"/>
      <c r="BT83" s="250"/>
      <c r="BU83" s="250"/>
      <c r="BV83" s="250"/>
      <c r="BW83" s="250"/>
      <c r="BX83" s="250"/>
      <c r="BY83" s="250"/>
      <c r="BZ83" s="538"/>
      <c r="CA83" s="217">
        <f t="shared" si="251"/>
        <v>0</v>
      </c>
      <c r="CB83" s="541"/>
      <c r="CC83" s="38">
        <f t="shared" si="50"/>
        <v>0</v>
      </c>
    </row>
    <row r="84" spans="1:81" ht="97.15">
      <c r="B84" s="712" t="s">
        <v>150</v>
      </c>
      <c r="C84" s="760" t="s">
        <v>121</v>
      </c>
      <c r="D84" s="760" t="s">
        <v>122</v>
      </c>
      <c r="E84" s="563" t="s">
        <v>151</v>
      </c>
      <c r="F84" s="207" t="s">
        <v>128</v>
      </c>
      <c r="G84" s="207" t="s">
        <v>143</v>
      </c>
      <c r="H84" s="207" t="s">
        <v>152</v>
      </c>
      <c r="I84" s="207" t="s">
        <v>129</v>
      </c>
      <c r="J84" s="207" t="s">
        <v>153</v>
      </c>
      <c r="K84" s="207" t="s">
        <v>154</v>
      </c>
      <c r="L84" s="207" t="s">
        <v>155</v>
      </c>
      <c r="M84" s="207" t="s">
        <v>156</v>
      </c>
      <c r="N84" s="207"/>
      <c r="O84" s="207"/>
      <c r="P84" s="207"/>
      <c r="Q84" s="207"/>
      <c r="R84" s="207"/>
      <c r="S84" s="207"/>
      <c r="T84" s="207"/>
      <c r="U84" s="207"/>
      <c r="V84" s="207"/>
      <c r="W84" s="207"/>
      <c r="X84" s="207"/>
      <c r="Y84" s="207"/>
      <c r="Z84" s="696"/>
      <c r="AA84" s="696"/>
      <c r="AB84" s="207"/>
      <c r="AC84" s="697" t="s">
        <v>157</v>
      </c>
      <c r="AD84" s="697"/>
      <c r="AE84" s="211" t="s">
        <v>141</v>
      </c>
      <c r="AF84" s="761"/>
      <c r="AG84" s="536"/>
      <c r="AH84" s="250"/>
      <c r="AI84" s="250"/>
      <c r="AJ84" s="250"/>
      <c r="AK84" s="250"/>
      <c r="AL84" s="250"/>
      <c r="AM84" s="250"/>
      <c r="AN84" s="250"/>
      <c r="AO84" s="250"/>
      <c r="AP84" s="250"/>
      <c r="AQ84" s="250"/>
      <c r="AR84" s="250"/>
      <c r="AS84" s="250"/>
      <c r="AT84" s="250"/>
      <c r="AU84" s="250"/>
      <c r="AV84" s="250"/>
      <c r="AW84" s="250"/>
      <c r="AX84" s="250"/>
      <c r="AY84" s="250"/>
      <c r="AZ84" s="250"/>
      <c r="BA84" s="250"/>
      <c r="BB84" s="250"/>
      <c r="BC84" s="250"/>
      <c r="BD84" s="250"/>
      <c r="BE84" s="250"/>
      <c r="BF84" s="250"/>
      <c r="BG84" s="250"/>
      <c r="BH84" s="250"/>
      <c r="BI84" s="250"/>
      <c r="BJ84" s="250"/>
      <c r="BK84" s="250"/>
      <c r="BL84" s="250"/>
      <c r="BM84" s="250"/>
      <c r="BN84" s="250"/>
      <c r="BO84" s="250"/>
      <c r="BP84" s="250"/>
      <c r="BQ84" s="250"/>
      <c r="BR84" s="250"/>
      <c r="BS84" s="250"/>
      <c r="BT84" s="250"/>
      <c r="BU84" s="250"/>
      <c r="BV84" s="250"/>
      <c r="BW84" s="250"/>
      <c r="BX84" s="250"/>
      <c r="BY84" s="250"/>
      <c r="BZ84" s="538"/>
      <c r="CA84" s="207" t="s">
        <v>158</v>
      </c>
      <c r="CB84" s="564" t="s">
        <v>29</v>
      </c>
    </row>
    <row r="85" spans="1:81" ht="21" customHeight="1">
      <c r="B85" s="712"/>
      <c r="C85" s="760"/>
      <c r="D85" s="760"/>
      <c r="E85" s="215"/>
      <c r="F85" s="214"/>
      <c r="G85" s="216" t="s">
        <v>143</v>
      </c>
      <c r="H85" s="630">
        <f>IFERROR(VLOOKUP(EG130,EK130:ER171,4,FALSE),0)</f>
        <v>0</v>
      </c>
      <c r="I85" s="216" t="s">
        <v>159</v>
      </c>
      <c r="J85" s="630">
        <f>IFERROR(VLOOKUP(EG130,EK130:ER171,5,FALSE),0)</f>
        <v>0</v>
      </c>
      <c r="K85" s="630">
        <f>IFERROR(VLOOKUP(EG130,EK130:ER171,6,FALSE),0)</f>
        <v>0</v>
      </c>
      <c r="L85" s="630">
        <f>IFERROR(VLOOKUP(EG130,EK130:ER171,7,FALSE),0)</f>
        <v>0</v>
      </c>
      <c r="M85" s="630">
        <f>IFERROR(VLOOKUP(EG130,EK130:ER171,8,FALSE),0)</f>
        <v>0</v>
      </c>
      <c r="N85" s="207"/>
      <c r="O85" s="207"/>
      <c r="P85" s="207"/>
      <c r="Q85" s="207"/>
      <c r="R85" s="207"/>
      <c r="S85" s="207"/>
      <c r="T85" s="207"/>
      <c r="U85" s="207"/>
      <c r="V85" s="207"/>
      <c r="W85" s="207"/>
      <c r="X85" s="207"/>
      <c r="Y85" s="207"/>
      <c r="Z85" s="696"/>
      <c r="AA85" s="696"/>
      <c r="AB85" s="207"/>
      <c r="AC85" s="698">
        <f>(F85*H85*J85*K85*L85)*(1-M85)</f>
        <v>0</v>
      </c>
      <c r="AD85" s="698"/>
      <c r="AE85" s="604">
        <f>AC85*(44/12)</f>
        <v>0</v>
      </c>
      <c r="AF85" s="761"/>
      <c r="AG85" s="536"/>
      <c r="AH85" s="250"/>
      <c r="AI85" s="250"/>
      <c r="AJ85" s="250"/>
      <c r="AK85" s="250"/>
      <c r="AL85" s="250"/>
      <c r="AM85" s="250"/>
      <c r="AN85" s="250"/>
      <c r="AO85" s="250"/>
      <c r="AP85" s="250"/>
      <c r="AQ85" s="250"/>
      <c r="AR85" s="250"/>
      <c r="AS85" s="250"/>
      <c r="AT85" s="250"/>
      <c r="AU85" s="250"/>
      <c r="AV85" s="250"/>
      <c r="AW85" s="250"/>
      <c r="AX85" s="250"/>
      <c r="AY85" s="250"/>
      <c r="AZ85" s="250"/>
      <c r="BA85" s="250"/>
      <c r="BB85" s="250"/>
      <c r="BC85" s="250"/>
      <c r="BD85" s="250"/>
      <c r="BE85" s="250"/>
      <c r="BF85" s="250"/>
      <c r="BG85" s="250"/>
      <c r="BH85" s="250"/>
      <c r="BI85" s="250"/>
      <c r="BJ85" s="250"/>
      <c r="BK85" s="250"/>
      <c r="BL85" s="250"/>
      <c r="BM85" s="250"/>
      <c r="BN85" s="250"/>
      <c r="BO85" s="250"/>
      <c r="BP85" s="250"/>
      <c r="BQ85" s="250"/>
      <c r="BR85" s="250"/>
      <c r="BS85" s="250"/>
      <c r="BT85" s="250"/>
      <c r="BU85" s="250"/>
      <c r="BV85" s="250"/>
      <c r="BW85" s="250"/>
      <c r="BX85" s="250"/>
      <c r="BY85" s="250"/>
      <c r="BZ85" s="538"/>
      <c r="CA85" s="217">
        <f>AE85</f>
        <v>0</v>
      </c>
      <c r="CB85" s="541"/>
    </row>
    <row r="86" spans="1:81" ht="15.4">
      <c r="B86" s="712"/>
      <c r="C86" s="214"/>
      <c r="D86" s="214"/>
      <c r="E86" s="215"/>
      <c r="F86" s="214"/>
      <c r="G86" s="216" t="s">
        <v>143</v>
      </c>
      <c r="H86" s="630">
        <f>IFERROR(VLOOKUP(EG131,EK131:ER172,4,FALSE),0)</f>
        <v>0</v>
      </c>
      <c r="I86" s="216" t="s">
        <v>159</v>
      </c>
      <c r="J86" s="630">
        <f>IFERROR(VLOOKUP(EG131,EK131:ER172,5,FALSE),0)</f>
        <v>0</v>
      </c>
      <c r="K86" s="630">
        <f>IFERROR(VLOOKUP(EG131,EK131:ER172,6,FALSE),0)</f>
        <v>0</v>
      </c>
      <c r="L86" s="630">
        <f>IFERROR(VLOOKUP(EG131,EK131:ER172,7,FALSE),0)</f>
        <v>0</v>
      </c>
      <c r="M86" s="630">
        <f>IFERROR(VLOOKUP(EG131,EK131:ER172,8,FALSE),0)</f>
        <v>0</v>
      </c>
      <c r="N86" s="207"/>
      <c r="O86" s="207"/>
      <c r="P86" s="207"/>
      <c r="Q86" s="207"/>
      <c r="R86" s="207"/>
      <c r="S86" s="207"/>
      <c r="T86" s="207"/>
      <c r="U86" s="207"/>
      <c r="V86" s="207"/>
      <c r="W86" s="207"/>
      <c r="X86" s="207"/>
      <c r="Y86" s="207"/>
      <c r="Z86" s="696"/>
      <c r="AA86" s="696"/>
      <c r="AB86" s="207"/>
      <c r="AC86" s="698">
        <f>(F86*H86*J86*K86*L86)*(1-M86)</f>
        <v>0</v>
      </c>
      <c r="AD86" s="698"/>
      <c r="AE86" s="604">
        <f t="shared" ref="AE86:AE88" si="254">AC86*(44/12)</f>
        <v>0</v>
      </c>
      <c r="AF86" s="761"/>
      <c r="AG86" s="536"/>
      <c r="AH86" s="250"/>
      <c r="AI86" s="250"/>
      <c r="AJ86" s="250"/>
      <c r="AK86" s="250"/>
      <c r="AL86" s="250"/>
      <c r="AM86" s="250"/>
      <c r="AN86" s="250"/>
      <c r="AO86" s="250"/>
      <c r="AP86" s="250"/>
      <c r="AQ86" s="250"/>
      <c r="AR86" s="250"/>
      <c r="AS86" s="250"/>
      <c r="AT86" s="250"/>
      <c r="AU86" s="250"/>
      <c r="AV86" s="250"/>
      <c r="AW86" s="250"/>
      <c r="AX86" s="250"/>
      <c r="AY86" s="250"/>
      <c r="AZ86" s="250"/>
      <c r="BA86" s="250"/>
      <c r="BB86" s="250"/>
      <c r="BC86" s="250"/>
      <c r="BD86" s="250"/>
      <c r="BE86" s="250"/>
      <c r="BF86" s="250"/>
      <c r="BG86" s="250"/>
      <c r="BH86" s="250"/>
      <c r="BI86" s="250"/>
      <c r="BJ86" s="250"/>
      <c r="BK86" s="250"/>
      <c r="BL86" s="250"/>
      <c r="BM86" s="250"/>
      <c r="BN86" s="250"/>
      <c r="BO86" s="250"/>
      <c r="BP86" s="250"/>
      <c r="BQ86" s="250"/>
      <c r="BR86" s="250"/>
      <c r="BS86" s="250"/>
      <c r="BT86" s="250"/>
      <c r="BU86" s="250"/>
      <c r="BV86" s="250"/>
      <c r="BW86" s="250"/>
      <c r="BX86" s="250"/>
      <c r="BY86" s="250"/>
      <c r="BZ86" s="538"/>
      <c r="CA86" s="217">
        <f t="shared" ref="CA86:CA88" si="255">AE86</f>
        <v>0</v>
      </c>
      <c r="CB86" s="541"/>
    </row>
    <row r="87" spans="1:81" ht="15.4">
      <c r="B87" s="712"/>
      <c r="C87" s="214"/>
      <c r="D87" s="214"/>
      <c r="E87" s="215"/>
      <c r="F87" s="214"/>
      <c r="G87" s="216" t="s">
        <v>143</v>
      </c>
      <c r="H87" s="630">
        <f>IFERROR(VLOOKUP(EG132,EK132:ER173,4,FALSE),0)</f>
        <v>0</v>
      </c>
      <c r="I87" s="216" t="s">
        <v>159</v>
      </c>
      <c r="J87" s="630">
        <f>IFERROR(VLOOKUP(EG132,EK132:ER173,5,FALSE),0)</f>
        <v>0</v>
      </c>
      <c r="K87" s="630">
        <f>IFERROR(VLOOKUP(EG132,EK132:ER173,6,FALSE),0)</f>
        <v>0</v>
      </c>
      <c r="L87" s="630">
        <f>IFERROR(VLOOKUP(EG132,EK132:ER173,7,FALSE),0)</f>
        <v>0</v>
      </c>
      <c r="M87" s="630">
        <f>IFERROR(VLOOKUP(EG132,EK132:ER173,8,FALSE),0)</f>
        <v>0</v>
      </c>
      <c r="N87" s="207"/>
      <c r="O87" s="207"/>
      <c r="P87" s="207"/>
      <c r="Q87" s="207"/>
      <c r="R87" s="207"/>
      <c r="S87" s="207"/>
      <c r="T87" s="207"/>
      <c r="U87" s="207"/>
      <c r="V87" s="207"/>
      <c r="W87" s="207"/>
      <c r="X87" s="207"/>
      <c r="Y87" s="207"/>
      <c r="Z87" s="696"/>
      <c r="AA87" s="696"/>
      <c r="AB87" s="207"/>
      <c r="AC87" s="698">
        <f>(F87*H87*J87*K87*L87)*(1-M87)</f>
        <v>0</v>
      </c>
      <c r="AD87" s="698"/>
      <c r="AE87" s="604">
        <f t="shared" si="254"/>
        <v>0</v>
      </c>
      <c r="AF87" s="761"/>
      <c r="AG87" s="536"/>
      <c r="AH87" s="250"/>
      <c r="AI87" s="250"/>
      <c r="AJ87" s="250"/>
      <c r="AK87" s="250"/>
      <c r="AL87" s="250"/>
      <c r="AM87" s="250"/>
      <c r="AN87" s="250"/>
      <c r="AO87" s="250"/>
      <c r="AP87" s="250"/>
      <c r="AQ87" s="250"/>
      <c r="AR87" s="250"/>
      <c r="AS87" s="250"/>
      <c r="AT87" s="250"/>
      <c r="AU87" s="250"/>
      <c r="AV87" s="250"/>
      <c r="AW87" s="250"/>
      <c r="AX87" s="250"/>
      <c r="AY87" s="250"/>
      <c r="AZ87" s="250"/>
      <c r="BA87" s="250"/>
      <c r="BB87" s="250"/>
      <c r="BC87" s="250"/>
      <c r="BD87" s="250"/>
      <c r="BE87" s="250"/>
      <c r="BF87" s="250"/>
      <c r="BG87" s="250"/>
      <c r="BH87" s="250"/>
      <c r="BI87" s="250"/>
      <c r="BJ87" s="250"/>
      <c r="BK87" s="250"/>
      <c r="BL87" s="250"/>
      <c r="BM87" s="250"/>
      <c r="BN87" s="250"/>
      <c r="BO87" s="250"/>
      <c r="BP87" s="250"/>
      <c r="BQ87" s="250"/>
      <c r="BR87" s="250"/>
      <c r="BS87" s="250"/>
      <c r="BT87" s="250"/>
      <c r="BU87" s="250"/>
      <c r="BV87" s="250"/>
      <c r="BW87" s="250"/>
      <c r="BX87" s="250"/>
      <c r="BY87" s="250"/>
      <c r="BZ87" s="538"/>
      <c r="CA87" s="217">
        <f t="shared" si="255"/>
        <v>0</v>
      </c>
      <c r="CB87" s="541"/>
    </row>
    <row r="88" spans="1:81" ht="15.4">
      <c r="B88" s="712"/>
      <c r="C88" s="214"/>
      <c r="D88" s="214"/>
      <c r="E88" s="215"/>
      <c r="F88" s="214"/>
      <c r="G88" s="216" t="s">
        <v>143</v>
      </c>
      <c r="H88" s="630">
        <f>IFERROR(VLOOKUP(EG133,EK133:ER174,4,FALSE),0)</f>
        <v>0</v>
      </c>
      <c r="I88" s="216" t="s">
        <v>159</v>
      </c>
      <c r="J88" s="630">
        <f>IFERROR(VLOOKUP(EG133,EK133:ER174,5,FALSE),0)</f>
        <v>0</v>
      </c>
      <c r="K88" s="630">
        <f>IFERROR(VLOOKUP(EG133,EK133:ER174,6,FALSE),0)</f>
        <v>0</v>
      </c>
      <c r="L88" s="630">
        <f>IFERROR(VLOOKUP(EG133,EK133:ER174,7,FALSE),0)</f>
        <v>0</v>
      </c>
      <c r="M88" s="630">
        <f>IFERROR(VLOOKUP(EG133,EK133:ER174,8,FALSE),0)</f>
        <v>0</v>
      </c>
      <c r="N88" s="207"/>
      <c r="O88" s="207"/>
      <c r="P88" s="207"/>
      <c r="Q88" s="207"/>
      <c r="R88" s="207"/>
      <c r="S88" s="207"/>
      <c r="T88" s="207"/>
      <c r="U88" s="207"/>
      <c r="V88" s="207"/>
      <c r="W88" s="207"/>
      <c r="X88" s="207"/>
      <c r="Y88" s="207"/>
      <c r="Z88" s="696"/>
      <c r="AA88" s="696"/>
      <c r="AB88" s="207"/>
      <c r="AC88" s="698">
        <f>(F88*H88*J88*K88*L88)*(1-M88)</f>
        <v>0</v>
      </c>
      <c r="AD88" s="698"/>
      <c r="AE88" s="604">
        <f t="shared" si="254"/>
        <v>0</v>
      </c>
      <c r="AF88" s="761"/>
      <c r="AG88" s="536"/>
      <c r="AH88" s="250"/>
      <c r="AI88" s="250"/>
      <c r="AJ88" s="250"/>
      <c r="AK88" s="250"/>
      <c r="AL88" s="250"/>
      <c r="AM88" s="250"/>
      <c r="AN88" s="250"/>
      <c r="AO88" s="250"/>
      <c r="AP88" s="250"/>
      <c r="AQ88" s="250"/>
      <c r="AR88" s="250"/>
      <c r="AS88" s="250"/>
      <c r="AT88" s="250"/>
      <c r="AU88" s="250"/>
      <c r="AV88" s="250"/>
      <c r="AW88" s="250"/>
      <c r="AX88" s="250"/>
      <c r="AY88" s="250"/>
      <c r="AZ88" s="250"/>
      <c r="BA88" s="250"/>
      <c r="BB88" s="250"/>
      <c r="BC88" s="250"/>
      <c r="BD88" s="250"/>
      <c r="BE88" s="250"/>
      <c r="BF88" s="250"/>
      <c r="BG88" s="250"/>
      <c r="BH88" s="250"/>
      <c r="BI88" s="250"/>
      <c r="BJ88" s="250"/>
      <c r="BK88" s="250"/>
      <c r="BL88" s="250"/>
      <c r="BM88" s="250"/>
      <c r="BN88" s="250"/>
      <c r="BO88" s="250"/>
      <c r="BP88" s="250"/>
      <c r="BQ88" s="250"/>
      <c r="BR88" s="250"/>
      <c r="BS88" s="250"/>
      <c r="BT88" s="250"/>
      <c r="BU88" s="250"/>
      <c r="BV88" s="250"/>
      <c r="BW88" s="250"/>
      <c r="BX88" s="250"/>
      <c r="BY88" s="250"/>
      <c r="BZ88" s="538"/>
      <c r="CA88" s="217">
        <f t="shared" si="255"/>
        <v>0</v>
      </c>
      <c r="CB88" s="541"/>
    </row>
    <row r="89" spans="1:81" ht="15.75" customHeight="1">
      <c r="B89" s="242" t="s">
        <v>160</v>
      </c>
      <c r="C89" s="341"/>
      <c r="D89" s="244"/>
      <c r="E89" s="244"/>
      <c r="F89" s="244"/>
      <c r="G89" s="244"/>
      <c r="H89" s="244"/>
      <c r="I89" s="244"/>
      <c r="J89" s="244"/>
      <c r="K89" s="244"/>
      <c r="L89" s="244"/>
      <c r="M89" s="244"/>
      <c r="N89" s="244"/>
      <c r="O89" s="244"/>
      <c r="P89" s="207"/>
      <c r="Q89" s="207"/>
      <c r="R89" s="207"/>
      <c r="S89" s="207"/>
      <c r="T89" s="244"/>
      <c r="U89" s="244"/>
      <c r="V89" s="244"/>
      <c r="W89" s="244"/>
      <c r="X89" s="246"/>
      <c r="Y89" s="207"/>
      <c r="Z89" s="244"/>
      <c r="AA89" s="244"/>
      <c r="AB89" s="567"/>
      <c r="AC89" s="567"/>
      <c r="AD89" s="248"/>
      <c r="AE89" s="249">
        <f>SUM(AE78:AE88)</f>
        <v>0</v>
      </c>
      <c r="AF89" s="761"/>
      <c r="AG89" s="249">
        <f>(AE89*AF89)^2</f>
        <v>0</v>
      </c>
      <c r="AH89" s="251"/>
      <c r="AI89" s="244"/>
      <c r="AJ89" s="252"/>
      <c r="AK89" s="244"/>
      <c r="AL89" s="253"/>
      <c r="AM89" s="249"/>
      <c r="AN89" s="250"/>
      <c r="AO89" s="249"/>
      <c r="AP89" s="244"/>
      <c r="AQ89" s="244"/>
      <c r="AR89" s="252"/>
      <c r="AS89" s="244"/>
      <c r="AT89" s="244"/>
      <c r="AU89" s="249"/>
      <c r="AV89" s="250"/>
      <c r="AW89" s="249"/>
      <c r="AX89" s="244"/>
      <c r="AY89" s="244"/>
      <c r="AZ89" s="252"/>
      <c r="BA89" s="244"/>
      <c r="BB89" s="249"/>
      <c r="BC89" s="250"/>
      <c r="BD89" s="249"/>
      <c r="BE89" s="244"/>
      <c r="BF89" s="244"/>
      <c r="BG89" s="252"/>
      <c r="BH89" s="244"/>
      <c r="BI89" s="249"/>
      <c r="BJ89" s="250"/>
      <c r="BK89" s="249"/>
      <c r="BL89" s="244"/>
      <c r="BM89" s="244"/>
      <c r="BN89" s="247"/>
      <c r="BO89" s="254"/>
      <c r="BP89" s="255"/>
      <c r="BQ89" s="249"/>
      <c r="BR89" s="250"/>
      <c r="BS89" s="249"/>
      <c r="BT89" s="244"/>
      <c r="BU89" s="244"/>
      <c r="BV89" s="247"/>
      <c r="BW89" s="254"/>
      <c r="BX89" s="249"/>
      <c r="BY89" s="250"/>
      <c r="BZ89" s="249"/>
      <c r="CA89" s="249">
        <f>SUM(CA78:CA88)</f>
        <v>0</v>
      </c>
      <c r="CB89" s="256">
        <f>IF(CA89&gt;0,SQRT(SUM(CC78:CC83))/CA89,0)</f>
        <v>0</v>
      </c>
      <c r="CC89" s="38">
        <f t="shared" si="50"/>
        <v>0</v>
      </c>
    </row>
    <row r="90" spans="1:81" ht="30.75" customHeight="1" thickBot="1">
      <c r="B90" s="277" t="s">
        <v>161</v>
      </c>
      <c r="C90" s="568"/>
      <c r="D90" s="278"/>
      <c r="E90" s="278"/>
      <c r="F90" s="278"/>
      <c r="G90" s="278"/>
      <c r="H90" s="278"/>
      <c r="I90" s="278"/>
      <c r="J90" s="278"/>
      <c r="K90" s="278"/>
      <c r="L90" s="278"/>
      <c r="M90" s="278"/>
      <c r="N90" s="278"/>
      <c r="O90" s="278"/>
      <c r="P90" s="278"/>
      <c r="Q90" s="278"/>
      <c r="R90" s="278"/>
      <c r="S90" s="278"/>
      <c r="T90" s="278"/>
      <c r="U90" s="278"/>
      <c r="V90" s="278"/>
      <c r="W90" s="278"/>
      <c r="X90" s="279"/>
      <c r="Y90" s="278"/>
      <c r="Z90" s="278"/>
      <c r="AA90" s="278"/>
      <c r="AB90" s="280"/>
      <c r="AC90" s="278"/>
      <c r="AD90" s="281"/>
      <c r="AE90" s="282">
        <f>+AE28+AE48+AE89+AE73</f>
        <v>0</v>
      </c>
      <c r="AF90" s="770"/>
      <c r="AG90" s="282">
        <f>(AE90*AF90)^2</f>
        <v>0</v>
      </c>
      <c r="AH90" s="284"/>
      <c r="AI90" s="278"/>
      <c r="AJ90" s="285"/>
      <c r="AK90" s="278"/>
      <c r="AL90" s="286"/>
      <c r="AM90" s="282"/>
      <c r="AN90" s="283"/>
      <c r="AO90" s="282"/>
      <c r="AP90" s="278"/>
      <c r="AQ90" s="278"/>
      <c r="AR90" s="285"/>
      <c r="AS90" s="278"/>
      <c r="AT90" s="278"/>
      <c r="AU90" s="282"/>
      <c r="AV90" s="283"/>
      <c r="AW90" s="282"/>
      <c r="AX90" s="278"/>
      <c r="AY90" s="278"/>
      <c r="AZ90" s="285"/>
      <c r="BA90" s="278"/>
      <c r="BB90" s="282"/>
      <c r="BC90" s="283"/>
      <c r="BD90" s="282"/>
      <c r="BE90" s="278"/>
      <c r="BF90" s="278"/>
      <c r="BG90" s="285"/>
      <c r="BH90" s="278"/>
      <c r="BI90" s="282"/>
      <c r="BJ90" s="283"/>
      <c r="BK90" s="282"/>
      <c r="BL90" s="278"/>
      <c r="BM90" s="278"/>
      <c r="BN90" s="280"/>
      <c r="BO90" s="287"/>
      <c r="BP90" s="288"/>
      <c r="BQ90" s="282"/>
      <c r="BR90" s="283"/>
      <c r="BS90" s="282"/>
      <c r="BT90" s="278"/>
      <c r="BU90" s="278"/>
      <c r="BV90" s="280"/>
      <c r="BW90" s="287"/>
      <c r="BX90" s="282"/>
      <c r="BY90" s="283"/>
      <c r="BZ90" s="282"/>
      <c r="CA90" s="289">
        <f>+CA28+CA48+CA89+CA73</f>
        <v>0</v>
      </c>
      <c r="CB90" s="290">
        <f>IF(CA90&gt;0,(SQRT(CC28+CB48+CB89+CB73))/CA90,0)</f>
        <v>0</v>
      </c>
      <c r="CC90" s="38">
        <f t="shared" ref="CC90:CC97" si="256">(CA90*CB90)^2</f>
        <v>0</v>
      </c>
    </row>
    <row r="91" spans="1:81" s="20" customFormat="1" ht="21" thickBot="1">
      <c r="B91" s="291"/>
      <c r="C91" s="291"/>
      <c r="D91" s="291"/>
      <c r="E91" s="291"/>
      <c r="F91" s="291"/>
      <c r="G91" s="292"/>
      <c r="H91" s="292"/>
      <c r="I91" s="292"/>
      <c r="J91" s="292"/>
      <c r="K91" s="292"/>
      <c r="L91" s="292"/>
      <c r="M91" s="292"/>
      <c r="N91" s="292"/>
      <c r="O91" s="292"/>
      <c r="P91" s="292"/>
      <c r="Q91" s="292"/>
      <c r="R91" s="292"/>
      <c r="S91" s="292"/>
      <c r="T91" s="293"/>
      <c r="U91" s="292"/>
      <c r="V91" s="292"/>
      <c r="W91" s="292"/>
      <c r="X91" s="294"/>
      <c r="Y91" s="295"/>
      <c r="Z91" s="291"/>
      <c r="AA91" s="291"/>
      <c r="AB91" s="296"/>
      <c r="AC91" s="295"/>
      <c r="AD91" s="297"/>
      <c r="AE91" s="297"/>
      <c r="AF91" s="295"/>
      <c r="AG91" s="297"/>
      <c r="AH91" s="298"/>
      <c r="AI91" s="291"/>
      <c r="AJ91" s="296"/>
      <c r="AK91" s="295"/>
      <c r="AL91" s="299"/>
      <c r="AM91" s="299"/>
      <c r="AN91" s="295"/>
      <c r="AO91" s="297"/>
      <c r="AP91" s="291"/>
      <c r="AQ91" s="291"/>
      <c r="AR91" s="296"/>
      <c r="AS91" s="295"/>
      <c r="AT91" s="295"/>
      <c r="AU91" s="295"/>
      <c r="AV91" s="295"/>
      <c r="AW91" s="297"/>
      <c r="AX91" s="291"/>
      <c r="AY91" s="291"/>
      <c r="AZ91" s="296"/>
      <c r="BA91" s="295"/>
      <c r="BB91" s="297"/>
      <c r="BC91" s="295"/>
      <c r="BD91" s="297"/>
      <c r="BE91" s="291"/>
      <c r="BF91" s="291"/>
      <c r="BG91" s="296"/>
      <c r="BH91" s="295"/>
      <c r="BI91" s="297"/>
      <c r="BJ91" s="295"/>
      <c r="BK91" s="297"/>
      <c r="BL91" s="291"/>
      <c r="BM91" s="291"/>
      <c r="BN91" s="296"/>
      <c r="BO91" s="295"/>
      <c r="BP91" s="297"/>
      <c r="BQ91" s="297"/>
      <c r="BR91" s="295"/>
      <c r="BS91" s="297"/>
      <c r="BT91" s="291"/>
      <c r="BU91" s="291"/>
      <c r="BV91" s="296"/>
      <c r="BW91" s="295"/>
      <c r="BX91" s="297"/>
      <c r="BY91" s="295"/>
      <c r="BZ91" s="297"/>
      <c r="CA91" s="292"/>
      <c r="CB91" s="295"/>
      <c r="CC91" s="38">
        <f t="shared" si="256"/>
        <v>0</v>
      </c>
    </row>
    <row r="92" spans="1:81" ht="31.5" customHeight="1">
      <c r="B92" s="757" t="s">
        <v>162</v>
      </c>
      <c r="C92" s="758"/>
      <c r="D92" s="758"/>
      <c r="E92" s="758"/>
      <c r="F92" s="758"/>
      <c r="G92" s="758"/>
      <c r="H92" s="758"/>
      <c r="I92" s="758"/>
      <c r="J92" s="758"/>
      <c r="K92" s="758"/>
      <c r="L92" s="758"/>
      <c r="M92" s="758"/>
      <c r="N92" s="758"/>
      <c r="O92" s="758"/>
      <c r="P92" s="758"/>
      <c r="Q92" s="758"/>
      <c r="R92" s="758"/>
      <c r="S92" s="758"/>
      <c r="T92" s="758"/>
      <c r="U92" s="758"/>
      <c r="V92" s="758"/>
      <c r="W92" s="758"/>
      <c r="X92" s="758"/>
      <c r="Y92" s="758"/>
      <c r="Z92" s="758"/>
      <c r="AA92" s="758"/>
      <c r="AB92" s="758"/>
      <c r="AC92" s="758"/>
      <c r="AD92" s="758"/>
      <c r="AE92" s="758"/>
      <c r="AF92" s="758"/>
      <c r="AG92" s="758"/>
      <c r="AH92" s="758"/>
      <c r="AI92" s="758"/>
      <c r="AJ92" s="758"/>
      <c r="AK92" s="758"/>
      <c r="AL92" s="758"/>
      <c r="AM92" s="758"/>
      <c r="AN92" s="758"/>
      <c r="AO92" s="758"/>
      <c r="AP92" s="758"/>
      <c r="AQ92" s="758"/>
      <c r="AR92" s="758"/>
      <c r="AS92" s="758"/>
      <c r="AT92" s="758"/>
      <c r="AU92" s="758"/>
      <c r="AV92" s="758"/>
      <c r="AW92" s="758"/>
      <c r="AX92" s="758"/>
      <c r="AY92" s="758"/>
      <c r="AZ92" s="758"/>
      <c r="BA92" s="758"/>
      <c r="BB92" s="758"/>
      <c r="BC92" s="758"/>
      <c r="BD92" s="758"/>
      <c r="BE92" s="758"/>
      <c r="BF92" s="758"/>
      <c r="BG92" s="758"/>
      <c r="BH92" s="758"/>
      <c r="BI92" s="758"/>
      <c r="BJ92" s="758"/>
      <c r="BK92" s="758"/>
      <c r="BL92" s="758"/>
      <c r="BM92" s="758"/>
      <c r="BN92" s="758"/>
      <c r="BO92" s="758"/>
      <c r="BP92" s="758"/>
      <c r="BQ92" s="758"/>
      <c r="BR92" s="758"/>
      <c r="BS92" s="758"/>
      <c r="BT92" s="758"/>
      <c r="BU92" s="758"/>
      <c r="BV92" s="758"/>
      <c r="BW92" s="758"/>
      <c r="BX92" s="758"/>
      <c r="BY92" s="758"/>
      <c r="BZ92" s="758"/>
      <c r="CA92" s="758"/>
      <c r="CB92" s="759"/>
      <c r="CC92" s="38">
        <f t="shared" si="256"/>
        <v>0</v>
      </c>
    </row>
    <row r="93" spans="1:81" s="29" customFormat="1" ht="49.5" customHeight="1">
      <c r="A93" s="20"/>
      <c r="B93" s="747" t="s">
        <v>15</v>
      </c>
      <c r="C93" s="762" t="s">
        <v>16</v>
      </c>
      <c r="D93" s="762" t="s">
        <v>17</v>
      </c>
      <c r="E93" s="760" t="s">
        <v>18</v>
      </c>
      <c r="F93" s="760" t="s">
        <v>19</v>
      </c>
      <c r="G93" s="760"/>
      <c r="H93" s="760"/>
      <c r="I93" s="760"/>
      <c r="J93" s="760"/>
      <c r="K93" s="760"/>
      <c r="L93" s="760"/>
      <c r="M93" s="760"/>
      <c r="N93" s="760"/>
      <c r="O93" s="760"/>
      <c r="P93" s="760"/>
      <c r="Q93" s="760"/>
      <c r="R93" s="760"/>
      <c r="S93" s="760"/>
      <c r="T93" s="760"/>
      <c r="U93" s="760" t="s">
        <v>20</v>
      </c>
      <c r="V93" s="760"/>
      <c r="W93" s="760"/>
      <c r="X93" s="760"/>
      <c r="Y93" s="760"/>
      <c r="Z93" s="761" t="s">
        <v>21</v>
      </c>
      <c r="AA93" s="761"/>
      <c r="AB93" s="761"/>
      <c r="AC93" s="761"/>
      <c r="AD93" s="761"/>
      <c r="AE93" s="761"/>
      <c r="AF93" s="761"/>
      <c r="AG93" s="761"/>
      <c r="AH93" s="761" t="s">
        <v>22</v>
      </c>
      <c r="AI93" s="761"/>
      <c r="AJ93" s="761"/>
      <c r="AK93" s="761"/>
      <c r="AL93" s="761"/>
      <c r="AM93" s="761"/>
      <c r="AN93" s="761"/>
      <c r="AO93" s="761"/>
      <c r="AP93" s="761" t="s">
        <v>23</v>
      </c>
      <c r="AQ93" s="761"/>
      <c r="AR93" s="761"/>
      <c r="AS93" s="761"/>
      <c r="AT93" s="761"/>
      <c r="AU93" s="761"/>
      <c r="AV93" s="761"/>
      <c r="AW93" s="761"/>
      <c r="AX93" s="761" t="s">
        <v>24</v>
      </c>
      <c r="AY93" s="761"/>
      <c r="AZ93" s="761"/>
      <c r="BA93" s="761"/>
      <c r="BB93" s="761"/>
      <c r="BC93" s="761"/>
      <c r="BD93" s="761"/>
      <c r="BE93" s="761" t="s">
        <v>25</v>
      </c>
      <c r="BF93" s="761"/>
      <c r="BG93" s="761"/>
      <c r="BH93" s="761"/>
      <c r="BI93" s="761"/>
      <c r="BJ93" s="761"/>
      <c r="BK93" s="761"/>
      <c r="BL93" s="761" t="s">
        <v>26</v>
      </c>
      <c r="BM93" s="761"/>
      <c r="BN93" s="761"/>
      <c r="BO93" s="761"/>
      <c r="BP93" s="761"/>
      <c r="BQ93" s="761"/>
      <c r="BR93" s="761"/>
      <c r="BS93" s="761"/>
      <c r="BT93" s="761" t="s">
        <v>27</v>
      </c>
      <c r="BU93" s="761"/>
      <c r="BV93" s="761"/>
      <c r="BW93" s="761"/>
      <c r="BX93" s="761"/>
      <c r="BY93" s="761"/>
      <c r="BZ93" s="761"/>
      <c r="CA93" s="696" t="s">
        <v>102</v>
      </c>
      <c r="CB93" s="756" t="s">
        <v>29</v>
      </c>
      <c r="CC93" s="38"/>
    </row>
    <row r="94" spans="1:81" s="29" customFormat="1" ht="75" customHeight="1">
      <c r="A94" s="20"/>
      <c r="B94" s="748"/>
      <c r="C94" s="763"/>
      <c r="D94" s="763"/>
      <c r="E94" s="760"/>
      <c r="F94" s="207" t="s">
        <v>30</v>
      </c>
      <c r="G94" s="207" t="s">
        <v>31</v>
      </c>
      <c r="H94" s="207" t="s">
        <v>32</v>
      </c>
      <c r="I94" s="207" t="s">
        <v>33</v>
      </c>
      <c r="J94" s="207" t="s">
        <v>34</v>
      </c>
      <c r="K94" s="207" t="s">
        <v>35</v>
      </c>
      <c r="L94" s="207" t="s">
        <v>36</v>
      </c>
      <c r="M94" s="207" t="s">
        <v>37</v>
      </c>
      <c r="N94" s="207" t="s">
        <v>38</v>
      </c>
      <c r="O94" s="207" t="s">
        <v>39</v>
      </c>
      <c r="P94" s="207" t="s">
        <v>40</v>
      </c>
      <c r="Q94" s="207" t="s">
        <v>41</v>
      </c>
      <c r="R94" s="207" t="s">
        <v>42</v>
      </c>
      <c r="S94" s="207" t="s">
        <v>43</v>
      </c>
      <c r="T94" s="207" t="s">
        <v>44</v>
      </c>
      <c r="U94" s="207" t="s">
        <v>45</v>
      </c>
      <c r="V94" s="207" t="s">
        <v>46</v>
      </c>
      <c r="W94" s="207" t="s">
        <v>47</v>
      </c>
      <c r="X94" s="208" t="s">
        <v>48</v>
      </c>
      <c r="Y94" s="209" t="s">
        <v>20</v>
      </c>
      <c r="Z94" s="696" t="s">
        <v>49</v>
      </c>
      <c r="AA94" s="696"/>
      <c r="AB94" s="210" t="s">
        <v>50</v>
      </c>
      <c r="AC94" s="207" t="s">
        <v>51</v>
      </c>
      <c r="AD94" s="211" t="s">
        <v>52</v>
      </c>
      <c r="AE94" s="211" t="s">
        <v>52</v>
      </c>
      <c r="AF94" s="209" t="s">
        <v>53</v>
      </c>
      <c r="AG94" s="211" t="s">
        <v>54</v>
      </c>
      <c r="AH94" s="696" t="s">
        <v>55</v>
      </c>
      <c r="AI94" s="696"/>
      <c r="AJ94" s="210" t="s">
        <v>50</v>
      </c>
      <c r="AK94" s="209" t="s">
        <v>56</v>
      </c>
      <c r="AL94" s="212" t="s">
        <v>57</v>
      </c>
      <c r="AM94" s="212" t="s">
        <v>58</v>
      </c>
      <c r="AN94" s="209" t="s">
        <v>59</v>
      </c>
      <c r="AO94" s="211" t="s">
        <v>54</v>
      </c>
      <c r="AP94" s="696" t="s">
        <v>60</v>
      </c>
      <c r="AQ94" s="696"/>
      <c r="AR94" s="210" t="s">
        <v>50</v>
      </c>
      <c r="AS94" s="209" t="s">
        <v>61</v>
      </c>
      <c r="AT94" s="207" t="s">
        <v>62</v>
      </c>
      <c r="AU94" s="207" t="s">
        <v>63</v>
      </c>
      <c r="AV94" s="209" t="s">
        <v>64</v>
      </c>
      <c r="AW94" s="211" t="s">
        <v>54</v>
      </c>
      <c r="AX94" s="696" t="s">
        <v>65</v>
      </c>
      <c r="AY94" s="696"/>
      <c r="AZ94" s="210" t="s">
        <v>50</v>
      </c>
      <c r="BA94" s="209" t="s">
        <v>163</v>
      </c>
      <c r="BB94" s="211" t="s">
        <v>92</v>
      </c>
      <c r="BC94" s="209" t="s">
        <v>68</v>
      </c>
      <c r="BD94" s="211" t="s">
        <v>54</v>
      </c>
      <c r="BE94" s="696" t="s">
        <v>69</v>
      </c>
      <c r="BF94" s="696"/>
      <c r="BG94" s="210" t="s">
        <v>50</v>
      </c>
      <c r="BH94" s="209" t="s">
        <v>70</v>
      </c>
      <c r="BI94" s="211" t="s">
        <v>93</v>
      </c>
      <c r="BJ94" s="209" t="s">
        <v>72</v>
      </c>
      <c r="BK94" s="211" t="s">
        <v>54</v>
      </c>
      <c r="BL94" s="696" t="s">
        <v>73</v>
      </c>
      <c r="BM94" s="696"/>
      <c r="BN94" s="210" t="s">
        <v>50</v>
      </c>
      <c r="BO94" s="209" t="s">
        <v>74</v>
      </c>
      <c r="BP94" s="211" t="s">
        <v>94</v>
      </c>
      <c r="BQ94" s="211" t="s">
        <v>95</v>
      </c>
      <c r="BR94" s="209" t="s">
        <v>77</v>
      </c>
      <c r="BS94" s="211" t="s">
        <v>54</v>
      </c>
      <c r="BT94" s="696" t="s">
        <v>78</v>
      </c>
      <c r="BU94" s="696"/>
      <c r="BV94" s="210" t="s">
        <v>50</v>
      </c>
      <c r="BW94" s="209" t="s">
        <v>79</v>
      </c>
      <c r="BX94" s="211" t="s">
        <v>96</v>
      </c>
      <c r="BY94" s="209" t="s">
        <v>81</v>
      </c>
      <c r="BZ94" s="211" t="s">
        <v>54</v>
      </c>
      <c r="CA94" s="696"/>
      <c r="CB94" s="756"/>
      <c r="CC94" s="38" t="s">
        <v>82</v>
      </c>
    </row>
    <row r="95" spans="1:81">
      <c r="B95" s="300" t="s">
        <v>164</v>
      </c>
      <c r="C95" s="217" t="s">
        <v>84</v>
      </c>
      <c r="D95" s="629"/>
      <c r="E95" s="640" t="s">
        <v>165</v>
      </c>
      <c r="F95" s="216" t="str">
        <f>VLOOKUP($E95,$CD$114:$DH$479,2,FALSE)</f>
        <v>KWh</v>
      </c>
      <c r="G95" s="214"/>
      <c r="H95" s="214"/>
      <c r="I95" s="214"/>
      <c r="J95" s="214"/>
      <c r="K95" s="214"/>
      <c r="L95" s="214"/>
      <c r="M95" s="214"/>
      <c r="N95" s="214"/>
      <c r="O95" s="214"/>
      <c r="P95" s="214"/>
      <c r="Q95" s="214"/>
      <c r="R95" s="214"/>
      <c r="S95" s="217">
        <f>SUM(G95:R95)</f>
        <v>0</v>
      </c>
      <c r="T95" s="218">
        <f>COUNT(G95:R95)</f>
        <v>0</v>
      </c>
      <c r="U95" s="217">
        <f>IF(T95&gt;1,AVERAGE(G95:R95),0)</f>
        <v>0</v>
      </c>
      <c r="V95" s="217">
        <f>IF(T95&gt;1,STDEV(G95:R95),0)</f>
        <v>0</v>
      </c>
      <c r="W95" s="217">
        <f>IF(T95&gt;1,VLOOKUP($T95,$CD$383:$CE$395,2,FALSE),0)</f>
        <v>0</v>
      </c>
      <c r="X95" s="219"/>
      <c r="Y95" s="536">
        <f>IF(X95&gt;0,X95,IF(T95&gt;1,1-((U95-((V95*W95)/(SQRT(T95))))/U95),VLOOKUP($E95,$CD$114:$DK$479,34,FALSE)))</f>
        <v>0.05</v>
      </c>
      <c r="Z95" s="225">
        <f>VLOOKUP($E95,$CD$114:$DH$479,3,FALSE)</f>
        <v>0.12790000000000001</v>
      </c>
      <c r="AA95" s="221" t="str">
        <f>VLOOKUP($E95,$CD$114:$DH$479,4,FALSE)</f>
        <v>kgCO2eq e/KWh</v>
      </c>
      <c r="AB95" s="537">
        <f>IF($S95&gt;0,VLOOKUP($E95,$CD$114:$DH$479,7,FALSE),0)</f>
        <v>0</v>
      </c>
      <c r="AC95" s="536">
        <f>IF($S95&gt;0,VLOOKUP($E95,$CD$114:$DH$479,6,FALSE),0)</f>
        <v>0</v>
      </c>
      <c r="AD95" s="538">
        <f>($S95*Z95)/1000</f>
        <v>0</v>
      </c>
      <c r="AE95" s="600">
        <f>AD95*$CE$401</f>
        <v>0</v>
      </c>
      <c r="AF95" s="536">
        <f>IF(AD95&gt;0,SQRT(($Y95*$Y95)+(AC95*AC95)),0)</f>
        <v>0</v>
      </c>
      <c r="AG95" s="538">
        <f>(AE95*AF95)^2</f>
        <v>0</v>
      </c>
      <c r="AH95" s="225">
        <v>0</v>
      </c>
      <c r="AI95" s="221">
        <v>0</v>
      </c>
      <c r="AJ95" s="537">
        <v>0</v>
      </c>
      <c r="AK95" s="536">
        <v>0</v>
      </c>
      <c r="AL95" s="540">
        <f>($S95*AH95)/1000</f>
        <v>0</v>
      </c>
      <c r="AM95" s="540">
        <f>AL95*$CE$402</f>
        <v>0</v>
      </c>
      <c r="AN95" s="536">
        <f>IF(AL95&gt;0,SQRT(($Y95*$Y95)+(AK95*AK95)),0)</f>
        <v>0</v>
      </c>
      <c r="AO95" s="538">
        <f>(AM95*AN95)^2</f>
        <v>0</v>
      </c>
      <c r="AP95" s="225">
        <v>0</v>
      </c>
      <c r="AQ95" s="221">
        <v>0</v>
      </c>
      <c r="AR95" s="537">
        <v>0</v>
      </c>
      <c r="AS95" s="536">
        <v>0</v>
      </c>
      <c r="AT95" s="540">
        <f>($S95*AP95)/1000</f>
        <v>0</v>
      </c>
      <c r="AU95" s="540">
        <f>AT95*$CE$403</f>
        <v>0</v>
      </c>
      <c r="AV95" s="536">
        <f>IF(AT95&gt;0,SQRT(($Y95*$Y95)+(AS95*AS95)),0)</f>
        <v>0</v>
      </c>
      <c r="AW95" s="538">
        <f>(AU95*AV95)^2</f>
        <v>0</v>
      </c>
      <c r="AX95" s="223">
        <v>0</v>
      </c>
      <c r="AY95" s="221">
        <v>0</v>
      </c>
      <c r="AZ95" s="537">
        <v>0</v>
      </c>
      <c r="BA95" s="536">
        <v>0</v>
      </c>
      <c r="BB95" s="540">
        <v>0</v>
      </c>
      <c r="BC95" s="536">
        <v>0</v>
      </c>
      <c r="BD95" s="538">
        <f>(BB95*BC95)^2</f>
        <v>0</v>
      </c>
      <c r="BE95" s="223">
        <v>0</v>
      </c>
      <c r="BF95" s="221">
        <v>0</v>
      </c>
      <c r="BG95" s="537">
        <v>0</v>
      </c>
      <c r="BH95" s="536">
        <v>0</v>
      </c>
      <c r="BI95" s="540">
        <v>0</v>
      </c>
      <c r="BJ95" s="536">
        <v>0</v>
      </c>
      <c r="BK95" s="538">
        <f>(BI95*BJ95)^2</f>
        <v>0</v>
      </c>
      <c r="BL95" s="223">
        <v>0</v>
      </c>
      <c r="BM95" s="221">
        <v>0</v>
      </c>
      <c r="BN95" s="537">
        <v>0</v>
      </c>
      <c r="BO95" s="536">
        <v>0</v>
      </c>
      <c r="BP95" s="540">
        <f>($S95*BL95)/1000</f>
        <v>0</v>
      </c>
      <c r="BQ95" s="540">
        <f>BP95*$CE$404</f>
        <v>0</v>
      </c>
      <c r="BR95" s="536">
        <f>IF(BP95&gt;0,SQRT(($Y95*$Y95)+(BO95*BO95)),0)</f>
        <v>0</v>
      </c>
      <c r="BS95" s="538">
        <f>(BQ95*BR95)^2</f>
        <v>0</v>
      </c>
      <c r="BT95" s="223">
        <v>0</v>
      </c>
      <c r="BU95" s="221">
        <v>0</v>
      </c>
      <c r="BV95" s="537">
        <v>0</v>
      </c>
      <c r="BW95" s="536">
        <v>0</v>
      </c>
      <c r="BX95" s="540">
        <v>0</v>
      </c>
      <c r="BY95" s="536">
        <v>0</v>
      </c>
      <c r="BZ95" s="538">
        <f>(BX95*BY95)^2</f>
        <v>0</v>
      </c>
      <c r="CA95" s="217">
        <f>IF(C95="EmisionesGEI",D95,AE95+AM95+AU95+BB95+BQ95)</f>
        <v>0</v>
      </c>
      <c r="CB95" s="541">
        <f>IF(CA95&gt;0,SQRT(AG95+AO95+AW95+BD95+BS95)/CA95,0)</f>
        <v>0</v>
      </c>
      <c r="CC95" s="38">
        <f>(CA95*CB95)^2</f>
        <v>0</v>
      </c>
    </row>
    <row r="96" spans="1:81" ht="31.5" customHeight="1" thickBot="1">
      <c r="B96" s="301"/>
      <c r="C96" s="302"/>
      <c r="D96" s="302"/>
      <c r="E96" s="278"/>
      <c r="F96" s="278"/>
      <c r="G96" s="278"/>
      <c r="H96" s="278"/>
      <c r="I96" s="278"/>
      <c r="J96" s="278"/>
      <c r="K96" s="278"/>
      <c r="L96" s="278"/>
      <c r="M96" s="278"/>
      <c r="N96" s="278"/>
      <c r="O96" s="278"/>
      <c r="P96" s="278"/>
      <c r="Q96" s="278"/>
      <c r="R96" s="278"/>
      <c r="S96" s="278"/>
      <c r="T96" s="278"/>
      <c r="U96" s="278"/>
      <c r="V96" s="278"/>
      <c r="W96" s="278"/>
      <c r="X96" s="279"/>
      <c r="Y96" s="278"/>
      <c r="Z96" s="278"/>
      <c r="AA96" s="278"/>
      <c r="AB96" s="280"/>
      <c r="AC96" s="278"/>
      <c r="AD96" s="278"/>
      <c r="AE96" s="303">
        <f>SUM(AE95:AE95)</f>
        <v>0</v>
      </c>
      <c r="AF96" s="304">
        <f>IF(AE96&gt;0,(SQRT(SUM(AG95:AG95)))/AE96,0)</f>
        <v>0</v>
      </c>
      <c r="AG96" s="305">
        <f>(AE96*AF96)^2</f>
        <v>0</v>
      </c>
      <c r="AH96" s="306"/>
      <c r="AI96" s="306"/>
      <c r="AJ96" s="307"/>
      <c r="AK96" s="306"/>
      <c r="AL96" s="306"/>
      <c r="AM96" s="303">
        <f>SUM(AM95:AM95)</f>
        <v>0</v>
      </c>
      <c r="AN96" s="304">
        <f>IF(AM96&gt;0,(SQRT(SUM(AO95:AO95)))/AM96,0)</f>
        <v>0</v>
      </c>
      <c r="AO96" s="282">
        <f>(AM96*AN96)^2</f>
        <v>0</v>
      </c>
      <c r="AP96" s="306"/>
      <c r="AQ96" s="306"/>
      <c r="AR96" s="307"/>
      <c r="AS96" s="306"/>
      <c r="AT96" s="306"/>
      <c r="AU96" s="303">
        <f>SUM(AU95:AU95)</f>
        <v>0</v>
      </c>
      <c r="AV96" s="304">
        <f>IF(AU96&gt;0,(SQRT(SUM(AW95:AW95)))/AU96,0)</f>
        <v>0</v>
      </c>
      <c r="AW96" s="282">
        <f>(AU96*AV96)^2</f>
        <v>0</v>
      </c>
      <c r="AX96" s="306"/>
      <c r="AY96" s="306"/>
      <c r="AZ96" s="307"/>
      <c r="BA96" s="306"/>
      <c r="BB96" s="303">
        <f>SUM(BB95:BB95)</f>
        <v>0</v>
      </c>
      <c r="BC96" s="304">
        <f>IF(BB96&gt;0,(SQRT(SUM(BD95:BD95)))/BB96,0)</f>
        <v>0</v>
      </c>
      <c r="BD96" s="282">
        <f>(BB96*BC96)^2</f>
        <v>0</v>
      </c>
      <c r="BE96" s="306"/>
      <c r="BF96" s="306"/>
      <c r="BG96" s="307"/>
      <c r="BH96" s="306"/>
      <c r="BI96" s="303">
        <f>SUM(BI95:BI95)</f>
        <v>0</v>
      </c>
      <c r="BJ96" s="304">
        <f>IF(BI96&gt;0,(SQRT(SUM(BK95:BK95)))/BI96,0)</f>
        <v>0</v>
      </c>
      <c r="BK96" s="282">
        <f>(BI96*BJ96)^2</f>
        <v>0</v>
      </c>
      <c r="BL96" s="306"/>
      <c r="BM96" s="306"/>
      <c r="BN96" s="308"/>
      <c r="BO96" s="304"/>
      <c r="BP96" s="303"/>
      <c r="BQ96" s="303">
        <f>SUM(BQ95:BQ95)</f>
        <v>0</v>
      </c>
      <c r="BR96" s="304">
        <f>IF(BQ96&gt;0,(SQRT(SUM(BS95:BS95)))/BQ96,0)</f>
        <v>0</v>
      </c>
      <c r="BS96" s="282">
        <f>(BQ96*BR96)^2</f>
        <v>0</v>
      </c>
      <c r="BT96" s="306"/>
      <c r="BU96" s="306"/>
      <c r="BV96" s="308"/>
      <c r="BW96" s="304"/>
      <c r="BX96" s="303">
        <f>SUM(BX95:BX95)</f>
        <v>0</v>
      </c>
      <c r="BY96" s="304">
        <f>IF(BX96&gt;0,(SQRT(SUM(BZ95:BZ95)))/BX96,0)</f>
        <v>0</v>
      </c>
      <c r="BZ96" s="282">
        <f>(BX96*BY96)^2</f>
        <v>0</v>
      </c>
      <c r="CA96" s="289">
        <f>SUM(CA95:CA95)</f>
        <v>0</v>
      </c>
      <c r="CB96" s="290">
        <f>IF(CA96&gt;0,(SQRT(SUM(CC95:CC95)))/CA96,0)</f>
        <v>0</v>
      </c>
      <c r="CC96" s="38">
        <f t="shared" si="256"/>
        <v>0</v>
      </c>
    </row>
    <row r="97" spans="1:139" s="20" customFormat="1">
      <c r="B97" s="309"/>
      <c r="C97" s="309"/>
      <c r="D97" s="309"/>
      <c r="E97" s="309"/>
      <c r="F97" s="309"/>
      <c r="G97" s="310"/>
      <c r="H97" s="310"/>
      <c r="I97" s="310"/>
      <c r="J97" s="310"/>
      <c r="K97" s="310"/>
      <c r="L97" s="310"/>
      <c r="M97" s="310"/>
      <c r="N97" s="310"/>
      <c r="O97" s="310"/>
      <c r="P97" s="310"/>
      <c r="Q97" s="310"/>
      <c r="R97" s="310"/>
      <c r="S97" s="310"/>
      <c r="T97" s="311"/>
      <c r="U97" s="310"/>
      <c r="V97" s="310"/>
      <c r="W97" s="310"/>
      <c r="X97" s="312"/>
      <c r="Y97" s="313"/>
      <c r="Z97" s="309"/>
      <c r="AA97" s="309"/>
      <c r="AB97" s="314"/>
      <c r="AC97" s="313"/>
      <c r="AD97" s="315"/>
      <c r="AE97" s="315"/>
      <c r="AF97" s="313"/>
      <c r="AG97" s="315"/>
      <c r="AH97" s="316"/>
      <c r="AI97" s="309"/>
      <c r="AJ97" s="314"/>
      <c r="AK97" s="313"/>
      <c r="AL97" s="317"/>
      <c r="AM97" s="317"/>
      <c r="AN97" s="313"/>
      <c r="AO97" s="315"/>
      <c r="AP97" s="309"/>
      <c r="AQ97" s="309"/>
      <c r="AR97" s="314"/>
      <c r="AS97" s="313"/>
      <c r="AT97" s="313"/>
      <c r="AU97" s="313"/>
      <c r="AV97" s="313"/>
      <c r="AW97" s="315"/>
      <c r="AX97" s="309"/>
      <c r="AY97" s="309"/>
      <c r="AZ97" s="314"/>
      <c r="BA97" s="313"/>
      <c r="BB97" s="315"/>
      <c r="BC97" s="313"/>
      <c r="BD97" s="315"/>
      <c r="BE97" s="309"/>
      <c r="BF97" s="309"/>
      <c r="BG97" s="314"/>
      <c r="BH97" s="313"/>
      <c r="BI97" s="315"/>
      <c r="BJ97" s="313"/>
      <c r="BK97" s="315"/>
      <c r="BL97" s="309"/>
      <c r="BM97" s="309"/>
      <c r="BN97" s="314"/>
      <c r="BO97" s="313"/>
      <c r="BP97" s="315"/>
      <c r="BQ97" s="315"/>
      <c r="BR97" s="313"/>
      <c r="BS97" s="315"/>
      <c r="BT97" s="309"/>
      <c r="BU97" s="309"/>
      <c r="BV97" s="314"/>
      <c r="BW97" s="313"/>
      <c r="BX97" s="315"/>
      <c r="BY97" s="313"/>
      <c r="BZ97" s="315"/>
      <c r="CA97" s="310"/>
      <c r="CB97" s="313"/>
      <c r="CC97" s="38">
        <f t="shared" si="256"/>
        <v>0</v>
      </c>
    </row>
    <row r="98" spans="1:139" s="20" customFormat="1" ht="20.65">
      <c r="B98" s="318"/>
      <c r="C98" s="318"/>
      <c r="D98" s="318"/>
      <c r="E98" s="318"/>
      <c r="F98" s="318"/>
      <c r="G98" s="319"/>
      <c r="H98" s="319"/>
      <c r="I98" s="319"/>
      <c r="J98" s="319"/>
      <c r="K98" s="319"/>
      <c r="L98" s="319"/>
      <c r="M98" s="319"/>
      <c r="N98" s="319"/>
      <c r="O98" s="319"/>
      <c r="P98" s="319"/>
      <c r="Q98" s="319"/>
      <c r="R98" s="319"/>
      <c r="S98" s="319"/>
      <c r="T98" s="320"/>
      <c r="U98" s="319"/>
      <c r="V98" s="319"/>
      <c r="W98" s="319"/>
      <c r="X98" s="321"/>
      <c r="Y98" s="322"/>
      <c r="Z98" s="318"/>
      <c r="AA98" s="318"/>
      <c r="AB98" s="323"/>
      <c r="AC98" s="322"/>
      <c r="AD98" s="324"/>
      <c r="AE98" s="324"/>
      <c r="AF98" s="322"/>
      <c r="AG98" s="324"/>
      <c r="AH98" s="325"/>
      <c r="AI98" s="318"/>
      <c r="AJ98" s="323"/>
      <c r="AK98" s="322"/>
      <c r="AL98" s="326"/>
      <c r="AM98" s="326"/>
      <c r="AN98" s="322"/>
      <c r="AO98" s="324"/>
      <c r="AP98" s="318"/>
      <c r="AQ98" s="318"/>
      <c r="AR98" s="323"/>
      <c r="AS98" s="322"/>
      <c r="AT98" s="322"/>
      <c r="AU98" s="322"/>
      <c r="AV98" s="322"/>
      <c r="AW98" s="324"/>
      <c r="AX98" s="318"/>
      <c r="AY98" s="318"/>
      <c r="AZ98" s="323"/>
      <c r="BA98" s="322"/>
      <c r="BB98" s="324"/>
      <c r="BC98" s="322"/>
      <c r="BD98" s="324"/>
      <c r="BE98" s="318"/>
      <c r="BF98" s="318"/>
      <c r="BG98" s="323"/>
      <c r="BH98" s="322"/>
      <c r="BI98" s="324"/>
      <c r="BJ98" s="322"/>
      <c r="BK98" s="324"/>
      <c r="BL98" s="318"/>
      <c r="BM98" s="318"/>
      <c r="BN98" s="323"/>
      <c r="BO98" s="322"/>
      <c r="BP98" s="324"/>
      <c r="BQ98" s="324"/>
      <c r="BR98" s="322"/>
      <c r="BS98" s="324"/>
      <c r="BT98" s="318"/>
      <c r="BU98" s="318"/>
      <c r="BV98" s="323"/>
      <c r="BW98" s="322"/>
      <c r="BX98" s="324"/>
      <c r="BY98" s="322"/>
      <c r="BZ98" s="324"/>
      <c r="CA98" s="319"/>
      <c r="CB98" s="322"/>
      <c r="CC98" s="38">
        <f t="shared" ref="CC98:CC99" si="257">(CA98*CB98)^2</f>
        <v>0</v>
      </c>
      <c r="CD98" s="52"/>
      <c r="CE98" s="22"/>
      <c r="CF98" s="22"/>
      <c r="CG98" s="22"/>
      <c r="CH98" s="53"/>
      <c r="CI98" s="53"/>
      <c r="CJ98" s="53"/>
      <c r="CK98" s="22"/>
      <c r="CL98" s="22"/>
      <c r="CM98" s="22"/>
      <c r="CN98" s="22"/>
      <c r="CO98" s="22"/>
      <c r="CP98" s="22"/>
      <c r="CQ98" s="22"/>
      <c r="CR98" s="22"/>
      <c r="CS98" s="22"/>
      <c r="CT98" s="22"/>
      <c r="CU98" s="22"/>
      <c r="CV98" s="22"/>
      <c r="CW98" s="21"/>
      <c r="CX98" s="22"/>
      <c r="CY98" s="22"/>
      <c r="CZ98" s="21"/>
      <c r="DA98" s="21"/>
      <c r="DB98" s="21"/>
      <c r="DC98" s="21"/>
      <c r="DD98" s="22"/>
      <c r="DE98" s="22"/>
      <c r="DF98" s="21"/>
      <c r="DG98" s="21"/>
      <c r="DH98" s="21"/>
      <c r="DI98" s="23"/>
      <c r="DJ98" s="24"/>
      <c r="DK98" s="24"/>
      <c r="DL98" s="25"/>
      <c r="DM98" s="25"/>
      <c r="DN98" s="25"/>
      <c r="DO98" s="25"/>
      <c r="DP98" s="25"/>
      <c r="DQ98" s="25"/>
      <c r="DR98" s="25"/>
      <c r="DS98" s="25"/>
      <c r="DT98" s="25"/>
      <c r="DU98" s="25"/>
      <c r="DV98" s="25"/>
      <c r="DW98" s="25"/>
      <c r="DX98" s="25"/>
      <c r="DY98" s="25"/>
      <c r="DZ98" s="25"/>
      <c r="EA98" s="25"/>
      <c r="EB98" s="25"/>
      <c r="EC98" s="25"/>
      <c r="ED98" s="25"/>
      <c r="EE98" s="25"/>
      <c r="EF98" s="25"/>
      <c r="EG98" s="25"/>
      <c r="EH98" s="25"/>
      <c r="EI98" s="25"/>
    </row>
    <row r="99" spans="1:139" ht="30.75" customHeight="1">
      <c r="B99" s="327" t="s">
        <v>166</v>
      </c>
      <c r="C99" s="327"/>
      <c r="D99" s="327"/>
      <c r="E99" s="328"/>
      <c r="F99" s="328"/>
      <c r="G99" s="328"/>
      <c r="H99" s="328"/>
      <c r="I99" s="328"/>
      <c r="J99" s="328"/>
      <c r="K99" s="328"/>
      <c r="L99" s="328"/>
      <c r="M99" s="328"/>
      <c r="N99" s="328"/>
      <c r="O99" s="328"/>
      <c r="P99" s="328"/>
      <c r="Q99" s="328"/>
      <c r="R99" s="328"/>
      <c r="S99" s="328"/>
      <c r="T99" s="328"/>
      <c r="U99" s="328"/>
      <c r="V99" s="328"/>
      <c r="W99" s="328"/>
      <c r="X99" s="329"/>
      <c r="Y99" s="328"/>
      <c r="Z99" s="328"/>
      <c r="AA99" s="328"/>
      <c r="AB99" s="330"/>
      <c r="AC99" s="328"/>
      <c r="AD99" s="328"/>
      <c r="AE99" s="305">
        <f>+AE90+AE96</f>
        <v>0</v>
      </c>
      <c r="AF99" s="331">
        <f>IF(AE99&gt;0,SQRT(AG90+AG96)/AE99,0)</f>
        <v>0</v>
      </c>
      <c r="AG99" s="305">
        <f>(AE99*AF99)^2</f>
        <v>0</v>
      </c>
      <c r="AH99" s="328"/>
      <c r="AI99" s="328"/>
      <c r="AJ99" s="332"/>
      <c r="AK99" s="328"/>
      <c r="AL99" s="328"/>
      <c r="AM99" s="305">
        <f>+AM73+AM96</f>
        <v>0</v>
      </c>
      <c r="AN99" s="331">
        <f>IF(AM99&gt;0,SQRT(AO90+AO96)/AM99,0)</f>
        <v>0</v>
      </c>
      <c r="AO99" s="305">
        <f>(AM99*AN99)^2</f>
        <v>0</v>
      </c>
      <c r="AP99" s="328"/>
      <c r="AQ99" s="328"/>
      <c r="AR99" s="332"/>
      <c r="AS99" s="328"/>
      <c r="AT99" s="328"/>
      <c r="AU99" s="305">
        <f>+AU73+AU96</f>
        <v>0</v>
      </c>
      <c r="AV99" s="331">
        <f>IF(AU99&gt;0,SQRT(AW90+AW96)/AU99,0)</f>
        <v>0</v>
      </c>
      <c r="AW99" s="305">
        <f>(AU99*AV99)^2</f>
        <v>0</v>
      </c>
      <c r="AX99" s="328"/>
      <c r="AY99" s="328"/>
      <c r="AZ99" s="332"/>
      <c r="BA99" s="328"/>
      <c r="BB99" s="305">
        <f>+BB73+BB96</f>
        <v>0</v>
      </c>
      <c r="BC99" s="331">
        <f>IF(BB99&gt;0,SQRT(BD90+BD96)/BB99,0)</f>
        <v>0</v>
      </c>
      <c r="BD99" s="305">
        <f>(BB99*BC99)^2</f>
        <v>0</v>
      </c>
      <c r="BE99" s="328"/>
      <c r="BF99" s="328"/>
      <c r="BG99" s="332"/>
      <c r="BH99" s="328"/>
      <c r="BI99" s="305">
        <f>+BI73+BI96</f>
        <v>0</v>
      </c>
      <c r="BJ99" s="331">
        <f>IF(BI99&gt;0,SQRT(BK90+BK96)/BI99,0)</f>
        <v>0</v>
      </c>
      <c r="BK99" s="305">
        <f>(BI99*BJ99)^2</f>
        <v>0</v>
      </c>
      <c r="BL99" s="328"/>
      <c r="BM99" s="328"/>
      <c r="BN99" s="332"/>
      <c r="BO99" s="328"/>
      <c r="BP99" s="333"/>
      <c r="BQ99" s="305">
        <f>+BQ73+BQ96</f>
        <v>0</v>
      </c>
      <c r="BR99" s="331">
        <f>IF(BQ99&gt;0,SQRT(BS90+BS96)/BQ99,0)</f>
        <v>0</v>
      </c>
      <c r="BS99" s="305">
        <f>(BQ99*BR99)^2</f>
        <v>0</v>
      </c>
      <c r="BT99" s="328"/>
      <c r="BU99" s="328"/>
      <c r="BV99" s="332"/>
      <c r="BW99" s="328"/>
      <c r="BX99" s="305">
        <f>+BX73+BX96</f>
        <v>0</v>
      </c>
      <c r="BY99" s="331">
        <f>IF(BX99&gt;0,SQRT(BZ90+BZ96)/BX99,0)</f>
        <v>0</v>
      </c>
      <c r="BZ99" s="305">
        <f>(BX99*BY99)^2</f>
        <v>0</v>
      </c>
      <c r="CA99" s="334">
        <f>+CA90+CA96</f>
        <v>0</v>
      </c>
      <c r="CB99" s="335">
        <f>IF(CA99&gt;0,SQRT(CB90+CB96)/CA99,0)</f>
        <v>0</v>
      </c>
      <c r="CC99" s="38">
        <f t="shared" si="257"/>
        <v>0</v>
      </c>
    </row>
    <row r="100" spans="1:139">
      <c r="B100" s="54"/>
      <c r="C100" s="54"/>
      <c r="D100" s="54"/>
      <c r="E100" s="54"/>
      <c r="F100" s="54"/>
      <c r="G100" s="55"/>
      <c r="H100" s="55"/>
      <c r="I100" s="55"/>
      <c r="J100" s="55"/>
      <c r="K100" s="55"/>
      <c r="L100" s="55"/>
      <c r="M100" s="55"/>
      <c r="N100" s="55"/>
      <c r="O100" s="55"/>
      <c r="P100" s="55"/>
      <c r="Q100" s="55"/>
      <c r="R100" s="55"/>
      <c r="S100" s="55"/>
      <c r="T100" s="57"/>
      <c r="U100" s="55"/>
      <c r="V100" s="55"/>
      <c r="W100" s="55"/>
      <c r="X100" s="59"/>
      <c r="Y100" s="60"/>
      <c r="Z100" s="54"/>
      <c r="AA100" s="54"/>
      <c r="AB100" s="61"/>
      <c r="AC100" s="60"/>
      <c r="AD100" s="63"/>
      <c r="AE100" s="63"/>
      <c r="AF100" s="60"/>
      <c r="AG100" s="63"/>
      <c r="AH100" s="64"/>
      <c r="AI100" s="54"/>
      <c r="AJ100" s="65"/>
      <c r="AK100" s="60"/>
      <c r="AL100" s="66"/>
      <c r="AM100" s="66"/>
      <c r="AN100" s="60"/>
      <c r="AO100" s="63"/>
      <c r="AP100" s="54"/>
      <c r="AQ100" s="54"/>
      <c r="AR100" s="65"/>
      <c r="AS100" s="60"/>
      <c r="AT100" s="60"/>
      <c r="AU100" s="60"/>
      <c r="AV100" s="60"/>
      <c r="AW100" s="63"/>
      <c r="AX100" s="54"/>
      <c r="AY100" s="54"/>
      <c r="AZ100" s="65"/>
      <c r="BA100" s="60"/>
      <c r="BB100" s="63"/>
      <c r="BC100" s="60"/>
      <c r="BD100" s="63"/>
      <c r="BE100" s="54"/>
      <c r="BF100" s="54"/>
      <c r="BG100" s="65"/>
      <c r="BH100" s="60"/>
      <c r="BI100" s="63"/>
      <c r="BJ100" s="60"/>
      <c r="BK100" s="63"/>
      <c r="BL100" s="54"/>
      <c r="BM100" s="54"/>
      <c r="BN100" s="65"/>
      <c r="BO100" s="60"/>
      <c r="BP100" s="63"/>
      <c r="BQ100" s="63"/>
      <c r="BR100" s="60"/>
      <c r="BS100" s="63"/>
      <c r="BT100" s="54"/>
      <c r="BU100" s="54"/>
      <c r="BV100" s="65"/>
      <c r="BW100" s="60"/>
      <c r="BX100" s="63"/>
      <c r="BY100" s="60"/>
      <c r="BZ100" s="63"/>
      <c r="CA100" s="55"/>
      <c r="CB100" s="60"/>
    </row>
    <row r="101" spans="1:139">
      <c r="G101" s="56"/>
      <c r="H101" s="56"/>
      <c r="I101" s="56"/>
      <c r="J101" s="56"/>
      <c r="K101" s="56"/>
      <c r="L101" s="56"/>
      <c r="M101" s="56"/>
      <c r="N101" s="56"/>
      <c r="O101" s="56"/>
      <c r="P101" s="56"/>
      <c r="Q101" s="56"/>
      <c r="R101" s="56"/>
      <c r="S101" s="56"/>
      <c r="T101" s="58"/>
      <c r="U101" s="56"/>
      <c r="V101" s="56"/>
      <c r="W101" s="56"/>
      <c r="Y101" s="62"/>
      <c r="AC101" s="62"/>
      <c r="AF101" s="62"/>
      <c r="AK101" s="62"/>
      <c r="AN101" s="62"/>
      <c r="AS101" s="62"/>
      <c r="AT101" s="62"/>
      <c r="AU101" s="62"/>
      <c r="AV101" s="62"/>
      <c r="BA101" s="62"/>
      <c r="BC101" s="62"/>
      <c r="BH101" s="62"/>
      <c r="BJ101" s="62"/>
      <c r="BO101" s="62"/>
      <c r="BR101" s="62"/>
      <c r="BW101" s="62"/>
      <c r="BY101" s="62"/>
      <c r="CA101" s="56"/>
      <c r="CB101" s="62"/>
    </row>
    <row r="108" spans="1:139">
      <c r="CE108" s="82" t="s">
        <v>167</v>
      </c>
    </row>
    <row r="109" spans="1:139">
      <c r="I109" s="412"/>
      <c r="J109" s="412"/>
    </row>
    <row r="110" spans="1:139">
      <c r="I110" s="412"/>
      <c r="J110" s="412"/>
      <c r="CE110" s="39" t="s">
        <v>168</v>
      </c>
    </row>
    <row r="111" spans="1:139">
      <c r="CE111" s="39" t="s">
        <v>84</v>
      </c>
      <c r="DZ111" s="398" t="s">
        <v>169</v>
      </c>
      <c r="EA111" s="397"/>
      <c r="EB111" s="397"/>
      <c r="EC111" s="398" t="s">
        <v>170</v>
      </c>
      <c r="ED111" s="397"/>
      <c r="EE111" s="397"/>
      <c r="EF111" s="397"/>
      <c r="EG111" s="396" t="s">
        <v>171</v>
      </c>
      <c r="EI111" s="398" t="s">
        <v>172</v>
      </c>
    </row>
    <row r="112" spans="1:139" s="30" customFormat="1">
      <c r="A112" s="25"/>
      <c r="X112" s="67"/>
      <c r="AB112" s="68"/>
      <c r="AD112" s="71"/>
      <c r="AE112" s="71"/>
      <c r="AG112" s="71"/>
      <c r="AH112" s="73"/>
      <c r="AJ112" s="74"/>
      <c r="AL112" s="78"/>
      <c r="AM112" s="78"/>
      <c r="AO112" s="71"/>
      <c r="AR112" s="74"/>
      <c r="AW112" s="71"/>
      <c r="AZ112" s="74"/>
      <c r="BB112" s="71"/>
      <c r="BD112" s="71"/>
      <c r="BG112" s="74"/>
      <c r="BI112" s="71"/>
      <c r="BK112" s="71"/>
      <c r="BN112" s="74"/>
      <c r="BP112" s="71"/>
      <c r="BQ112" s="71"/>
      <c r="BS112" s="71"/>
      <c r="BV112" s="74"/>
      <c r="BX112" s="71"/>
      <c r="BZ112" s="71"/>
      <c r="CC112" s="38"/>
      <c r="CD112" s="29"/>
      <c r="CE112" s="39"/>
      <c r="CF112" s="39"/>
      <c r="CG112" s="39"/>
      <c r="CH112" s="40"/>
      <c r="CI112" s="40"/>
      <c r="CJ112" s="40"/>
      <c r="CK112" s="100"/>
      <c r="CL112" s="100"/>
      <c r="CM112" s="100"/>
      <c r="CN112" s="100"/>
      <c r="CO112" s="100"/>
      <c r="CP112" s="100"/>
      <c r="CQ112" s="39"/>
      <c r="CR112" s="100"/>
      <c r="CS112" s="100"/>
      <c r="CT112" s="39"/>
      <c r="CU112" s="39"/>
      <c r="CV112" s="39"/>
      <c r="CW112" s="41"/>
      <c r="CX112" s="100"/>
      <c r="CY112" s="100"/>
      <c r="CZ112" s="41"/>
      <c r="DA112" s="41"/>
      <c r="DB112" s="41"/>
      <c r="DC112" s="41"/>
      <c r="DD112" s="100"/>
      <c r="DE112" s="100"/>
      <c r="DF112" s="41"/>
      <c r="DG112" s="41"/>
      <c r="DH112" s="41"/>
      <c r="DI112" s="42"/>
      <c r="DJ112" s="43"/>
      <c r="DK112" s="43"/>
      <c r="DZ112" s="569" t="s">
        <v>146</v>
      </c>
      <c r="EA112" s="397"/>
      <c r="EB112" s="397"/>
      <c r="EC112" s="569" t="s">
        <v>173</v>
      </c>
      <c r="ED112" s="397"/>
      <c r="EE112" s="397"/>
      <c r="EF112" s="397"/>
      <c r="EG112" s="396" t="s">
        <v>174</v>
      </c>
      <c r="EI112" s="396" t="s">
        <v>175</v>
      </c>
    </row>
    <row r="113" spans="1:150" s="30" customFormat="1" ht="16.149999999999999" thickBot="1">
      <c r="A113" s="25"/>
      <c r="X113" s="67"/>
      <c r="AB113" s="68"/>
      <c r="AD113" s="71"/>
      <c r="AE113" s="71"/>
      <c r="AG113" s="71"/>
      <c r="AH113" s="73"/>
      <c r="AJ113" s="74"/>
      <c r="AL113" s="78"/>
      <c r="AM113" s="78"/>
      <c r="AO113" s="71"/>
      <c r="AR113" s="74"/>
      <c r="AW113" s="71"/>
      <c r="AZ113" s="74"/>
      <c r="BB113" s="71"/>
      <c r="BD113" s="71"/>
      <c r="BG113" s="74"/>
      <c r="BI113" s="71"/>
      <c r="BK113" s="71"/>
      <c r="BN113" s="74"/>
      <c r="BP113" s="71"/>
      <c r="BQ113" s="71"/>
      <c r="BS113" s="71"/>
      <c r="BV113" s="74"/>
      <c r="BX113" s="71"/>
      <c r="BZ113" s="71"/>
      <c r="CC113" s="38"/>
      <c r="CD113" s="29">
        <v>1</v>
      </c>
      <c r="CE113" s="39">
        <v>2</v>
      </c>
      <c r="CF113" s="39">
        <v>3</v>
      </c>
      <c r="CG113" s="39">
        <v>4</v>
      </c>
      <c r="CH113" s="39">
        <v>5</v>
      </c>
      <c r="CI113" s="39">
        <v>6</v>
      </c>
      <c r="CJ113" s="39">
        <v>7</v>
      </c>
      <c r="CK113" s="39">
        <v>8</v>
      </c>
      <c r="CL113" s="39">
        <v>9</v>
      </c>
      <c r="CM113" s="39">
        <v>10</v>
      </c>
      <c r="CN113" s="39">
        <v>11</v>
      </c>
      <c r="CO113" s="39">
        <v>12</v>
      </c>
      <c r="CP113" s="39">
        <v>13</v>
      </c>
      <c r="CQ113" s="39">
        <v>14</v>
      </c>
      <c r="CR113" s="39">
        <v>15</v>
      </c>
      <c r="CS113" s="39">
        <v>16</v>
      </c>
      <c r="CT113" s="39">
        <v>17</v>
      </c>
      <c r="CU113" s="39">
        <v>18</v>
      </c>
      <c r="CV113" s="39">
        <v>19</v>
      </c>
      <c r="CW113" s="39">
        <v>20</v>
      </c>
      <c r="CX113" s="39">
        <v>21</v>
      </c>
      <c r="CY113" s="39">
        <v>22</v>
      </c>
      <c r="CZ113" s="39">
        <v>23</v>
      </c>
      <c r="DA113" s="39">
        <v>24</v>
      </c>
      <c r="DB113" s="39">
        <v>25</v>
      </c>
      <c r="DC113" s="39">
        <v>26</v>
      </c>
      <c r="DD113" s="39">
        <v>27</v>
      </c>
      <c r="DE113" s="39">
        <v>28</v>
      </c>
      <c r="DF113" s="39">
        <v>29</v>
      </c>
      <c r="DG113" s="39">
        <v>30</v>
      </c>
      <c r="DH113" s="39">
        <v>31</v>
      </c>
      <c r="DI113" s="106">
        <v>32</v>
      </c>
      <c r="DJ113" s="107">
        <v>33</v>
      </c>
      <c r="DK113" s="107">
        <v>34</v>
      </c>
      <c r="DP113" s="674" t="s">
        <v>125</v>
      </c>
      <c r="DQ113" s="674"/>
      <c r="DR113" s="674"/>
      <c r="DS113" s="674"/>
      <c r="DT113" s="674"/>
      <c r="DU113" s="674"/>
      <c r="DV113"/>
      <c r="DW113"/>
      <c r="DX113"/>
      <c r="DZ113" s="570" t="s">
        <v>176</v>
      </c>
      <c r="EA113" s="397"/>
      <c r="EB113" s="397"/>
      <c r="EC113" s="569" t="s">
        <v>177</v>
      </c>
      <c r="ED113" s="397"/>
      <c r="EE113" s="397"/>
      <c r="EF113" s="397"/>
      <c r="EG113" s="396" t="s">
        <v>178</v>
      </c>
      <c r="EI113" s="396" t="s">
        <v>179</v>
      </c>
    </row>
    <row r="114" spans="1:150" s="30" customFormat="1" ht="26.25" customHeight="1" thickBot="1">
      <c r="X114" s="67"/>
      <c r="AB114" s="68"/>
      <c r="AD114" s="71"/>
      <c r="AE114" s="71"/>
      <c r="AG114" s="71"/>
      <c r="AH114" s="73"/>
      <c r="AJ114" s="74"/>
      <c r="AL114" s="78"/>
      <c r="AM114" s="78"/>
      <c r="AO114" s="71"/>
      <c r="AR114" s="74"/>
      <c r="AW114" s="71"/>
      <c r="AZ114" s="74"/>
      <c r="BB114" s="71"/>
      <c r="BD114" s="71"/>
      <c r="BG114" s="74"/>
      <c r="BI114" s="71"/>
      <c r="BK114" s="71"/>
      <c r="BN114" s="74"/>
      <c r="BP114" s="71"/>
      <c r="BQ114" s="71"/>
      <c r="BS114" s="71"/>
      <c r="BV114" s="74"/>
      <c r="BX114" s="71"/>
      <c r="BZ114" s="71"/>
      <c r="CA114" s="69"/>
      <c r="CB114" s="81"/>
      <c r="CC114" s="83"/>
      <c r="CD114" s="84"/>
      <c r="CE114" s="85"/>
      <c r="CF114" s="710" t="s">
        <v>180</v>
      </c>
      <c r="CG114" s="85"/>
      <c r="CH114" s="710" t="s">
        <v>181</v>
      </c>
      <c r="CI114" s="710" t="s">
        <v>181</v>
      </c>
      <c r="CJ114" s="710" t="s">
        <v>182</v>
      </c>
      <c r="CK114" s="707" t="s">
        <v>183</v>
      </c>
      <c r="CL114" s="708"/>
      <c r="CM114" s="708"/>
      <c r="CN114" s="708"/>
      <c r="CO114" s="708"/>
      <c r="CP114" s="708"/>
      <c r="CQ114" s="708"/>
      <c r="CR114" s="708"/>
      <c r="CS114" s="708"/>
      <c r="CT114" s="708"/>
      <c r="CU114" s="708"/>
      <c r="CV114" s="709"/>
      <c r="CW114" s="707" t="s">
        <v>184</v>
      </c>
      <c r="CX114" s="708"/>
      <c r="CY114" s="708"/>
      <c r="CZ114" s="708"/>
      <c r="DA114" s="708"/>
      <c r="DB114" s="708"/>
      <c r="DC114" s="708"/>
      <c r="DD114" s="708"/>
      <c r="DE114" s="708"/>
      <c r="DF114" s="708"/>
      <c r="DG114" s="708"/>
      <c r="DH114" s="709"/>
      <c r="DI114" s="84" t="s">
        <v>185</v>
      </c>
      <c r="DJ114" s="43" t="s">
        <v>186</v>
      </c>
      <c r="DK114" s="43"/>
      <c r="DP114" s="369" t="s">
        <v>187</v>
      </c>
      <c r="DQ114" s="369" t="s">
        <v>129</v>
      </c>
      <c r="DR114" s="369" t="s">
        <v>188</v>
      </c>
      <c r="DS114" s="675" t="s">
        <v>189</v>
      </c>
      <c r="DT114" s="676"/>
      <c r="DU114" s="677"/>
      <c r="DV114"/>
      <c r="DW114" s="370"/>
      <c r="DX114" s="370"/>
      <c r="DZ114" s="571" t="s">
        <v>147</v>
      </c>
      <c r="EA114" s="397"/>
      <c r="EB114" s="397"/>
      <c r="EC114" s="569" t="s">
        <v>190</v>
      </c>
      <c r="ED114" s="397">
        <v>0</v>
      </c>
      <c r="EE114" s="397"/>
      <c r="EF114" s="397"/>
      <c r="EG114" s="396" t="s">
        <v>191</v>
      </c>
      <c r="EI114" s="396" t="s">
        <v>190</v>
      </c>
    </row>
    <row r="115" spans="1:150" s="30" customFormat="1" ht="58.5" customHeight="1" thickBot="1">
      <c r="X115" s="67"/>
      <c r="Z115" s="69"/>
      <c r="AA115" s="69"/>
      <c r="AB115" s="70"/>
      <c r="AC115" s="69"/>
      <c r="AD115" s="72"/>
      <c r="AE115" s="72"/>
      <c r="AF115" s="69"/>
      <c r="AG115" s="72"/>
      <c r="AH115" s="75"/>
      <c r="AI115" s="69"/>
      <c r="AJ115" s="76"/>
      <c r="AK115" s="69"/>
      <c r="AL115" s="79"/>
      <c r="AM115" s="79"/>
      <c r="AN115" s="69"/>
      <c r="AO115" s="72"/>
      <c r="AP115" s="69"/>
      <c r="AQ115" s="69"/>
      <c r="AR115" s="76"/>
      <c r="AS115" s="69"/>
      <c r="AT115" s="69"/>
      <c r="AU115" s="69"/>
      <c r="AV115" s="69"/>
      <c r="AW115" s="72"/>
      <c r="AX115" s="69"/>
      <c r="AY115" s="69"/>
      <c r="AZ115" s="76"/>
      <c r="BA115" s="69"/>
      <c r="BB115" s="72"/>
      <c r="BC115" s="69"/>
      <c r="BD115" s="72"/>
      <c r="BE115" s="69"/>
      <c r="BF115" s="69"/>
      <c r="BG115" s="76"/>
      <c r="BH115" s="69"/>
      <c r="BI115" s="72"/>
      <c r="BJ115" s="69"/>
      <c r="BK115" s="72"/>
      <c r="BL115" s="69"/>
      <c r="BM115" s="69"/>
      <c r="BN115" s="76"/>
      <c r="BO115" s="69"/>
      <c r="BP115" s="72"/>
      <c r="BQ115" s="72"/>
      <c r="BR115" s="69"/>
      <c r="BS115" s="72"/>
      <c r="BT115" s="69"/>
      <c r="BU115" s="69"/>
      <c r="BV115" s="76"/>
      <c r="BW115" s="69"/>
      <c r="BX115" s="72"/>
      <c r="BY115" s="69"/>
      <c r="BZ115" s="72"/>
      <c r="CA115" s="69"/>
      <c r="CB115" s="69"/>
      <c r="CC115" s="86"/>
      <c r="CD115" s="84" t="s">
        <v>192</v>
      </c>
      <c r="CE115" s="87" t="s">
        <v>193</v>
      </c>
      <c r="CF115" s="711"/>
      <c r="CG115" s="87" t="s">
        <v>194</v>
      </c>
      <c r="CH115" s="711"/>
      <c r="CI115" s="711"/>
      <c r="CJ115" s="711"/>
      <c r="CK115" s="101" t="s">
        <v>195</v>
      </c>
      <c r="CL115" s="101" t="s">
        <v>196</v>
      </c>
      <c r="CM115" s="87" t="s">
        <v>194</v>
      </c>
      <c r="CN115" s="101" t="s">
        <v>181</v>
      </c>
      <c r="CO115" s="101" t="s">
        <v>181</v>
      </c>
      <c r="CP115" s="101" t="s">
        <v>182</v>
      </c>
      <c r="CQ115" s="101" t="s">
        <v>197</v>
      </c>
      <c r="CR115" s="101" t="s">
        <v>198</v>
      </c>
      <c r="CS115" s="87" t="s">
        <v>194</v>
      </c>
      <c r="CT115" s="101" t="s">
        <v>181</v>
      </c>
      <c r="CU115" s="101" t="s">
        <v>181</v>
      </c>
      <c r="CV115" s="101" t="s">
        <v>182</v>
      </c>
      <c r="CW115" s="101" t="s">
        <v>195</v>
      </c>
      <c r="CX115" s="101" t="s">
        <v>196</v>
      </c>
      <c r="CY115" s="87" t="s">
        <v>194</v>
      </c>
      <c r="CZ115" s="101" t="s">
        <v>181</v>
      </c>
      <c r="DA115" s="101" t="s">
        <v>181</v>
      </c>
      <c r="DB115" s="101" t="s">
        <v>182</v>
      </c>
      <c r="DC115" s="101" t="s">
        <v>197</v>
      </c>
      <c r="DD115" s="101" t="s">
        <v>198</v>
      </c>
      <c r="DE115" s="87" t="s">
        <v>194</v>
      </c>
      <c r="DF115" s="101" t="s">
        <v>181</v>
      </c>
      <c r="DG115" s="101" t="s">
        <v>181</v>
      </c>
      <c r="DH115" s="101" t="s">
        <v>182</v>
      </c>
      <c r="DI115" s="84" t="s">
        <v>199</v>
      </c>
      <c r="DJ115" s="43" t="s">
        <v>200</v>
      </c>
      <c r="DK115" s="43" t="s">
        <v>201</v>
      </c>
      <c r="DP115" s="678" t="s">
        <v>202</v>
      </c>
      <c r="DQ115" s="679"/>
      <c r="DR115" s="680"/>
      <c r="DS115" s="391" t="s">
        <v>174</v>
      </c>
      <c r="DT115" s="391" t="s">
        <v>178</v>
      </c>
      <c r="DU115" s="391" t="s">
        <v>191</v>
      </c>
      <c r="DV115" s="681" t="s">
        <v>203</v>
      </c>
      <c r="DW115" s="682"/>
      <c r="DX115" s="683"/>
      <c r="DZ115" s="572" t="s">
        <v>148</v>
      </c>
      <c r="EA115" s="397"/>
      <c r="EB115" s="397"/>
      <c r="EC115" s="569" t="s">
        <v>204</v>
      </c>
      <c r="ED115" s="397"/>
      <c r="EE115" s="397"/>
      <c r="EF115" s="397"/>
      <c r="EG115" s="396"/>
      <c r="EI115" s="396" t="s">
        <v>205</v>
      </c>
    </row>
    <row r="116" spans="1:150" s="30" customFormat="1" ht="16.5" customHeight="1" thickBot="1">
      <c r="X116" s="67"/>
      <c r="Z116" s="69"/>
      <c r="AA116" s="69"/>
      <c r="AB116" s="70"/>
      <c r="AC116" s="69"/>
      <c r="AD116" s="72"/>
      <c r="AE116" s="72"/>
      <c r="AF116" s="69"/>
      <c r="AG116" s="72"/>
      <c r="AH116" s="75"/>
      <c r="AI116" s="69"/>
      <c r="AJ116" s="76"/>
      <c r="AK116" s="69"/>
      <c r="AL116" s="79"/>
      <c r="AM116" s="79"/>
      <c r="AN116" s="69"/>
      <c r="AO116" s="72"/>
      <c r="AP116" s="69"/>
      <c r="AQ116" s="69"/>
      <c r="AR116" s="76"/>
      <c r="AS116" s="69"/>
      <c r="AT116" s="69"/>
      <c r="AU116" s="69"/>
      <c r="AV116" s="69"/>
      <c r="AW116" s="72"/>
      <c r="AX116" s="69"/>
      <c r="AY116" s="69"/>
      <c r="AZ116" s="76"/>
      <c r="BA116" s="69"/>
      <c r="BB116" s="72"/>
      <c r="BC116" s="69"/>
      <c r="BD116" s="72"/>
      <c r="BE116" s="69"/>
      <c r="BF116" s="69"/>
      <c r="BG116" s="76"/>
      <c r="BH116" s="69"/>
      <c r="BI116" s="72"/>
      <c r="BJ116" s="69"/>
      <c r="BK116" s="72"/>
      <c r="BL116" s="69"/>
      <c r="BM116" s="69"/>
      <c r="BN116" s="76"/>
      <c r="BO116" s="69"/>
      <c r="BP116" s="72"/>
      <c r="BQ116" s="72"/>
      <c r="BR116" s="69"/>
      <c r="BS116" s="72"/>
      <c r="BT116" s="69"/>
      <c r="BU116" s="69"/>
      <c r="BV116" s="76"/>
      <c r="BW116" s="69"/>
      <c r="BX116" s="72"/>
      <c r="BY116" s="69"/>
      <c r="BZ116" s="72"/>
      <c r="CA116" s="69"/>
      <c r="CB116" s="69"/>
      <c r="CC116" s="88"/>
      <c r="CD116" s="89" t="s">
        <v>206</v>
      </c>
      <c r="CE116" s="90" t="s">
        <v>207</v>
      </c>
      <c r="CF116" s="90">
        <f>(112000*26.7)/1000</f>
        <v>2990.4</v>
      </c>
      <c r="CG116" s="90" t="s">
        <v>208</v>
      </c>
      <c r="CH116" s="97">
        <v>0.05</v>
      </c>
      <c r="CI116" s="97">
        <v>0.05</v>
      </c>
      <c r="CJ116" s="97" t="s">
        <v>209</v>
      </c>
      <c r="CK116" s="90">
        <v>28.760200000000001</v>
      </c>
      <c r="CL116" s="90">
        <f>CK116/1000</f>
        <v>2.87602E-2</v>
      </c>
      <c r="CM116" s="90" t="s">
        <v>210</v>
      </c>
      <c r="CN116" s="98">
        <v>0.3</v>
      </c>
      <c r="CO116" s="98">
        <v>3</v>
      </c>
      <c r="CP116" s="90" t="s">
        <v>209</v>
      </c>
      <c r="CQ116" s="90">
        <v>43.1404</v>
      </c>
      <c r="CR116" s="90">
        <f>CQ116/1000</f>
        <v>4.3140400000000002E-2</v>
      </c>
      <c r="CS116" s="90" t="s">
        <v>211</v>
      </c>
      <c r="CT116" s="98">
        <v>0.33333333333333298</v>
      </c>
      <c r="CU116" s="98">
        <v>3.3333333333333299</v>
      </c>
      <c r="CV116" s="90" t="s">
        <v>209</v>
      </c>
      <c r="CW116" s="90">
        <v>0</v>
      </c>
      <c r="CX116" s="90">
        <f>CW116/1000</f>
        <v>0</v>
      </c>
      <c r="CY116" s="90" t="s">
        <v>210</v>
      </c>
      <c r="CZ116" s="98">
        <v>0</v>
      </c>
      <c r="DA116" s="98">
        <v>0</v>
      </c>
      <c r="DB116" s="90" t="s">
        <v>209</v>
      </c>
      <c r="DC116" s="90">
        <v>0</v>
      </c>
      <c r="DD116" s="90">
        <f>DC116/1000</f>
        <v>0</v>
      </c>
      <c r="DE116" s="90" t="s">
        <v>211</v>
      </c>
      <c r="DF116" s="98">
        <v>0</v>
      </c>
      <c r="DG116" s="98">
        <v>0</v>
      </c>
      <c r="DH116" s="90" t="s">
        <v>209</v>
      </c>
      <c r="DI116" s="90"/>
      <c r="DJ116" s="43">
        <f>CH116</f>
        <v>0.05</v>
      </c>
      <c r="DK116" s="43">
        <f>CI116</f>
        <v>0.05</v>
      </c>
      <c r="DP116" s="684" t="s">
        <v>136</v>
      </c>
      <c r="DQ116" s="686" t="s">
        <v>212</v>
      </c>
      <c r="DR116" s="395" t="s">
        <v>173</v>
      </c>
      <c r="DS116" s="417">
        <v>0.49</v>
      </c>
      <c r="DT116" s="417">
        <v>0.49</v>
      </c>
      <c r="DU116" s="417">
        <v>0.49</v>
      </c>
      <c r="DV116" s="688" t="s">
        <v>213</v>
      </c>
      <c r="DW116" s="688"/>
      <c r="DX116" s="689"/>
      <c r="DZ116" s="397"/>
      <c r="EA116" s="397"/>
      <c r="EB116" s="397"/>
      <c r="EC116" s="569" t="s">
        <v>214</v>
      </c>
      <c r="ED116" s="397"/>
      <c r="EE116" s="397"/>
      <c r="EF116" s="397"/>
      <c r="EG116" s="397"/>
      <c r="EI116" s="396" t="s">
        <v>215</v>
      </c>
    </row>
    <row r="117" spans="1:150" s="30" customFormat="1" ht="16.5" customHeight="1" thickBot="1">
      <c r="X117" s="67"/>
      <c r="AB117" s="68"/>
      <c r="AD117" s="71"/>
      <c r="AE117" s="71"/>
      <c r="AG117" s="71"/>
      <c r="AH117" s="73"/>
      <c r="AJ117" s="74"/>
      <c r="AL117" s="78"/>
      <c r="AM117" s="78"/>
      <c r="AO117" s="71"/>
      <c r="AR117" s="74"/>
      <c r="AW117" s="71"/>
      <c r="AZ117" s="74"/>
      <c r="BB117" s="71"/>
      <c r="BD117" s="71"/>
      <c r="BG117" s="74"/>
      <c r="BI117" s="71"/>
      <c r="BK117" s="71"/>
      <c r="BN117" s="74"/>
      <c r="BP117" s="71"/>
      <c r="BQ117" s="71"/>
      <c r="BS117" s="71"/>
      <c r="BV117" s="74"/>
      <c r="BX117" s="71"/>
      <c r="BZ117" s="71"/>
      <c r="CC117" s="91"/>
      <c r="CD117" s="92" t="s">
        <v>216</v>
      </c>
      <c r="CE117" s="90" t="s">
        <v>217</v>
      </c>
      <c r="CF117" s="90">
        <f>(107000*28.2)/1000</f>
        <v>3017.4</v>
      </c>
      <c r="CG117" s="90" t="s">
        <v>208</v>
      </c>
      <c r="CH117" s="97">
        <v>0.05</v>
      </c>
      <c r="CI117" s="97">
        <v>0.05</v>
      </c>
      <c r="CJ117" s="97" t="s">
        <v>209</v>
      </c>
      <c r="CK117" s="102">
        <f>1*28.2</f>
        <v>28.2</v>
      </c>
      <c r="CL117" s="90">
        <f>CK117/1000</f>
        <v>2.8199999999999999E-2</v>
      </c>
      <c r="CM117" s="90" t="s">
        <v>210</v>
      </c>
      <c r="CN117" s="98">
        <v>0.3</v>
      </c>
      <c r="CO117" s="98">
        <v>3</v>
      </c>
      <c r="CP117" s="90" t="s">
        <v>209</v>
      </c>
      <c r="CQ117" s="94">
        <f>1.5*28.2</f>
        <v>42.3</v>
      </c>
      <c r="CR117" s="90">
        <f>CQ117/1000</f>
        <v>4.2299999999999997E-2</v>
      </c>
      <c r="CS117" s="90" t="s">
        <v>211</v>
      </c>
      <c r="CT117" s="98">
        <v>0.33333333333333298</v>
      </c>
      <c r="CU117" s="98">
        <v>3.3333333333333299</v>
      </c>
      <c r="CV117" s="90" t="s">
        <v>209</v>
      </c>
      <c r="CW117" s="90">
        <v>0</v>
      </c>
      <c r="CX117" s="90">
        <f>CW117/1000</f>
        <v>0</v>
      </c>
      <c r="CY117" s="90" t="s">
        <v>210</v>
      </c>
      <c r="CZ117" s="98">
        <v>0</v>
      </c>
      <c r="DA117" s="98">
        <v>0</v>
      </c>
      <c r="DB117" s="90" t="s">
        <v>209</v>
      </c>
      <c r="DC117" s="94">
        <v>0</v>
      </c>
      <c r="DD117" s="90">
        <f>DC117/1000</f>
        <v>0</v>
      </c>
      <c r="DE117" s="90" t="s">
        <v>211</v>
      </c>
      <c r="DF117" s="98">
        <v>0</v>
      </c>
      <c r="DG117" s="98">
        <v>0</v>
      </c>
      <c r="DH117" s="90" t="s">
        <v>209</v>
      </c>
      <c r="DI117" s="104"/>
      <c r="DJ117" s="43">
        <f t="shared" ref="DJ117:DJ142" si="258">CH117</f>
        <v>0.05</v>
      </c>
      <c r="DK117" s="43">
        <f t="shared" ref="DK117:DK142" si="259">CI117</f>
        <v>0.05</v>
      </c>
      <c r="DP117" s="685"/>
      <c r="DQ117" s="687"/>
      <c r="DR117" s="392" t="s">
        <v>218</v>
      </c>
      <c r="DS117" s="418">
        <v>0.49</v>
      </c>
      <c r="DT117" s="418">
        <v>0.49</v>
      </c>
      <c r="DU117" s="418">
        <v>0.49</v>
      </c>
      <c r="DV117" s="690"/>
      <c r="DW117" s="690"/>
      <c r="DX117" s="691"/>
      <c r="DZ117" s="397"/>
      <c r="EA117" s="397"/>
      <c r="EB117" s="397"/>
      <c r="EC117" s="569" t="s">
        <v>219</v>
      </c>
      <c r="ED117" s="397"/>
      <c r="EE117" s="397"/>
      <c r="EF117" s="397"/>
      <c r="EG117" s="397"/>
      <c r="EI117" s="396" t="s">
        <v>220</v>
      </c>
    </row>
    <row r="118" spans="1:150" s="30" customFormat="1" ht="16.5" customHeight="1" thickBot="1">
      <c r="X118" s="67"/>
      <c r="AB118" s="68"/>
      <c r="AD118" s="71"/>
      <c r="AE118" s="71"/>
      <c r="AG118" s="71"/>
      <c r="AH118" s="73"/>
      <c r="AJ118" s="74"/>
      <c r="AL118" s="78"/>
      <c r="AM118" s="78"/>
      <c r="AO118" s="71"/>
      <c r="AR118" s="74"/>
      <c r="AW118" s="71"/>
      <c r="AZ118" s="74"/>
      <c r="BB118" s="71"/>
      <c r="BD118" s="71"/>
      <c r="BG118" s="74"/>
      <c r="BI118" s="71"/>
      <c r="BK118" s="71"/>
      <c r="BN118" s="74"/>
      <c r="BP118" s="71"/>
      <c r="BQ118" s="71"/>
      <c r="BS118" s="71"/>
      <c r="BV118" s="74"/>
      <c r="BX118" s="71"/>
      <c r="BZ118" s="71"/>
      <c r="CC118" s="88"/>
      <c r="CD118" s="92" t="s">
        <v>221</v>
      </c>
      <c r="CE118" s="90" t="s">
        <v>217</v>
      </c>
      <c r="CF118" s="90">
        <f>(97500*32.5)/1000</f>
        <v>3168.75</v>
      </c>
      <c r="CG118" s="90" t="s">
        <v>208</v>
      </c>
      <c r="CH118" s="97">
        <v>0.05</v>
      </c>
      <c r="CI118" s="97">
        <v>0.05</v>
      </c>
      <c r="CJ118" s="97" t="s">
        <v>209</v>
      </c>
      <c r="CK118" s="102">
        <v>509.37279999999998</v>
      </c>
      <c r="CL118" s="90">
        <f t="shared" ref="CL118:CL121" si="260">CK118/1000</f>
        <v>0.50937279999999996</v>
      </c>
      <c r="CM118" s="90" t="s">
        <v>210</v>
      </c>
      <c r="CN118" s="98">
        <v>0.33333333333333298</v>
      </c>
      <c r="CO118" s="98">
        <v>3.3333333333333299</v>
      </c>
      <c r="CP118" s="90" t="s">
        <v>209</v>
      </c>
      <c r="CQ118" s="94">
        <v>67.916399999999996</v>
      </c>
      <c r="CR118" s="90">
        <f t="shared" ref="CR118:CR121" si="261">CQ118/1000</f>
        <v>6.7916400000000002E-2</v>
      </c>
      <c r="CS118" s="90" t="s">
        <v>211</v>
      </c>
      <c r="CT118" s="98">
        <v>0.375</v>
      </c>
      <c r="CU118" s="98">
        <v>3.75</v>
      </c>
      <c r="CV118" s="90" t="s">
        <v>209</v>
      </c>
      <c r="CW118" s="90">
        <v>0</v>
      </c>
      <c r="CX118" s="90">
        <f t="shared" ref="CX118:CX121" si="262">CW118/1000</f>
        <v>0</v>
      </c>
      <c r="CY118" s="90" t="s">
        <v>210</v>
      </c>
      <c r="CZ118" s="98">
        <v>0</v>
      </c>
      <c r="DA118" s="98">
        <v>0</v>
      </c>
      <c r="DB118" s="90" t="s">
        <v>209</v>
      </c>
      <c r="DC118" s="94">
        <v>0</v>
      </c>
      <c r="DD118" s="90">
        <f t="shared" ref="DD118:DD121" si="263">DC118/1000</f>
        <v>0</v>
      </c>
      <c r="DE118" s="90" t="s">
        <v>211</v>
      </c>
      <c r="DF118" s="98">
        <v>0</v>
      </c>
      <c r="DG118" s="98">
        <v>0</v>
      </c>
      <c r="DH118" s="90" t="s">
        <v>209</v>
      </c>
      <c r="DI118" s="104"/>
      <c r="DJ118" s="43">
        <f t="shared" si="258"/>
        <v>0.05</v>
      </c>
      <c r="DK118" s="43">
        <f t="shared" si="259"/>
        <v>0.05</v>
      </c>
      <c r="DP118" s="685"/>
      <c r="DQ118" s="687"/>
      <c r="DR118" s="392" t="s">
        <v>190</v>
      </c>
      <c r="DS118" s="418">
        <v>0.45100000000000001</v>
      </c>
      <c r="DT118" s="418">
        <v>0.45100000000000001</v>
      </c>
      <c r="DU118" s="418">
        <v>0.45100000000000001</v>
      </c>
      <c r="DV118" s="692" t="s">
        <v>222</v>
      </c>
      <c r="DW118" s="692"/>
      <c r="DX118" s="693"/>
      <c r="DZ118" s="397"/>
      <c r="EA118" s="397"/>
      <c r="EB118" s="397"/>
      <c r="EC118" s="572" t="s">
        <v>223</v>
      </c>
      <c r="ED118" s="397"/>
      <c r="EE118" s="397"/>
      <c r="EF118" s="397"/>
      <c r="EG118" s="397"/>
      <c r="EI118" s="396" t="s">
        <v>224</v>
      </c>
    </row>
    <row r="119" spans="1:150" s="30" customFormat="1" ht="16.5" customHeight="1" thickBot="1">
      <c r="X119" s="67"/>
      <c r="AB119" s="68"/>
      <c r="AD119" s="71"/>
      <c r="AE119" s="71"/>
      <c r="AG119" s="71"/>
      <c r="AH119" s="73"/>
      <c r="AJ119" s="74"/>
      <c r="AL119" s="78"/>
      <c r="AM119" s="78"/>
      <c r="AO119" s="71"/>
      <c r="AR119" s="74"/>
      <c r="AW119" s="71"/>
      <c r="AZ119" s="74"/>
      <c r="BB119" s="71"/>
      <c r="BD119" s="71"/>
      <c r="BG119" s="74"/>
      <c r="BI119" s="71"/>
      <c r="BK119" s="71"/>
      <c r="BN119" s="74"/>
      <c r="BP119" s="71"/>
      <c r="BQ119" s="71"/>
      <c r="BS119" s="71"/>
      <c r="BV119" s="74"/>
      <c r="BX119" s="71"/>
      <c r="BZ119" s="71"/>
      <c r="CC119" s="88"/>
      <c r="CD119" s="92" t="s">
        <v>225</v>
      </c>
      <c r="CE119" s="90" t="s">
        <v>217</v>
      </c>
      <c r="CF119" s="93">
        <v>0</v>
      </c>
      <c r="CG119" s="90" t="s">
        <v>208</v>
      </c>
      <c r="CH119" s="97">
        <v>0.05</v>
      </c>
      <c r="CI119" s="97">
        <v>0.05</v>
      </c>
      <c r="CJ119" s="97" t="s">
        <v>209</v>
      </c>
      <c r="CK119" s="102">
        <v>554.66999999999996</v>
      </c>
      <c r="CL119" s="90">
        <f t="shared" si="260"/>
        <v>0.55467</v>
      </c>
      <c r="CM119" s="90" t="s">
        <v>210</v>
      </c>
      <c r="CN119" s="98">
        <v>0.33333333333333298</v>
      </c>
      <c r="CO119" s="98">
        <v>3.3333333333333299</v>
      </c>
      <c r="CP119" s="90" t="s">
        <v>209</v>
      </c>
      <c r="CQ119" s="94">
        <v>73.956000000000003</v>
      </c>
      <c r="CR119" s="90">
        <f t="shared" si="261"/>
        <v>7.3956000000000008E-2</v>
      </c>
      <c r="CS119" s="90" t="s">
        <v>211</v>
      </c>
      <c r="CT119" s="98">
        <v>0.375</v>
      </c>
      <c r="CU119" s="98">
        <v>3.75</v>
      </c>
      <c r="CV119" s="90" t="s">
        <v>209</v>
      </c>
      <c r="CW119" s="90">
        <v>0</v>
      </c>
      <c r="CX119" s="90">
        <f t="shared" si="262"/>
        <v>0</v>
      </c>
      <c r="CY119" s="90" t="s">
        <v>210</v>
      </c>
      <c r="CZ119" s="98">
        <v>0</v>
      </c>
      <c r="DA119" s="98">
        <v>0</v>
      </c>
      <c r="DB119" s="90" t="s">
        <v>209</v>
      </c>
      <c r="DC119" s="94">
        <v>0</v>
      </c>
      <c r="DD119" s="90">
        <f t="shared" si="263"/>
        <v>0</v>
      </c>
      <c r="DE119" s="90" t="s">
        <v>211</v>
      </c>
      <c r="DF119" s="98">
        <v>0</v>
      </c>
      <c r="DG119" s="98">
        <v>0</v>
      </c>
      <c r="DH119" s="90" t="s">
        <v>209</v>
      </c>
      <c r="DI119" s="90">
        <f>(112000*15.6)/1000</f>
        <v>1747.2</v>
      </c>
      <c r="DJ119" s="43">
        <f t="shared" si="258"/>
        <v>0.05</v>
      </c>
      <c r="DK119" s="43">
        <f t="shared" si="259"/>
        <v>0.05</v>
      </c>
      <c r="DP119" s="685"/>
      <c r="DQ119" s="687"/>
      <c r="DR119" s="392" t="s">
        <v>226</v>
      </c>
      <c r="DS119" s="418">
        <v>0.49</v>
      </c>
      <c r="DT119" s="418">
        <v>0.49</v>
      </c>
      <c r="DU119" s="418">
        <v>0.49</v>
      </c>
      <c r="DV119" s="694" t="s">
        <v>227</v>
      </c>
      <c r="DW119" s="694"/>
      <c r="DX119" s="695"/>
      <c r="DZ119" s="397"/>
      <c r="EA119" s="397"/>
      <c r="EB119" s="397"/>
      <c r="EC119" s="570" t="s">
        <v>228</v>
      </c>
      <c r="ED119" s="397"/>
      <c r="EE119" s="397"/>
      <c r="EF119" s="397"/>
      <c r="EG119" s="397"/>
      <c r="EI119" s="396" t="s">
        <v>229</v>
      </c>
    </row>
    <row r="120" spans="1:150" s="30" customFormat="1" ht="16.5" customHeight="1" thickBot="1">
      <c r="X120" s="67"/>
      <c r="AB120" s="68"/>
      <c r="AD120" s="71"/>
      <c r="AE120" s="71"/>
      <c r="AG120" s="71"/>
      <c r="AH120" s="73"/>
      <c r="AJ120" s="74"/>
      <c r="AL120" s="78"/>
      <c r="AM120" s="78"/>
      <c r="AO120" s="71"/>
      <c r="AR120" s="74"/>
      <c r="AW120" s="71"/>
      <c r="AZ120" s="74"/>
      <c r="BB120" s="71"/>
      <c r="BD120" s="71"/>
      <c r="BG120" s="74"/>
      <c r="BI120" s="71"/>
      <c r="BK120" s="71"/>
      <c r="BN120" s="74"/>
      <c r="BP120" s="71"/>
      <c r="BQ120" s="71"/>
      <c r="BS120" s="71"/>
      <c r="BV120" s="74"/>
      <c r="BX120" s="71"/>
      <c r="BZ120" s="71"/>
      <c r="CC120" s="88"/>
      <c r="CD120" s="92" t="s">
        <v>230</v>
      </c>
      <c r="CE120" s="90" t="s">
        <v>217</v>
      </c>
      <c r="CF120" s="93">
        <v>0</v>
      </c>
      <c r="CG120" s="90" t="s">
        <v>208</v>
      </c>
      <c r="CH120" s="97">
        <v>0.05</v>
      </c>
      <c r="CI120" s="97">
        <v>0.05</v>
      </c>
      <c r="CJ120" s="97" t="s">
        <v>209</v>
      </c>
      <c r="CK120" s="102">
        <v>569.07000000000005</v>
      </c>
      <c r="CL120" s="90">
        <f t="shared" si="260"/>
        <v>0.56907000000000008</v>
      </c>
      <c r="CM120" s="90" t="s">
        <v>210</v>
      </c>
      <c r="CN120" s="98">
        <v>0.33333333333333298</v>
      </c>
      <c r="CO120" s="98">
        <v>3.3333333333333299</v>
      </c>
      <c r="CP120" s="90" t="s">
        <v>209</v>
      </c>
      <c r="CQ120" s="94">
        <v>75.876000000000005</v>
      </c>
      <c r="CR120" s="90">
        <f t="shared" si="261"/>
        <v>7.5875999999999999E-2</v>
      </c>
      <c r="CS120" s="90" t="s">
        <v>211</v>
      </c>
      <c r="CT120" s="98">
        <v>0.375</v>
      </c>
      <c r="CU120" s="98">
        <v>3.75</v>
      </c>
      <c r="CV120" s="90" t="s">
        <v>209</v>
      </c>
      <c r="CW120" s="90">
        <v>0</v>
      </c>
      <c r="CX120" s="90">
        <f t="shared" si="262"/>
        <v>0</v>
      </c>
      <c r="CY120" s="90" t="s">
        <v>210</v>
      </c>
      <c r="CZ120" s="98">
        <v>0</v>
      </c>
      <c r="DA120" s="98">
        <v>0</v>
      </c>
      <c r="DB120" s="90" t="s">
        <v>209</v>
      </c>
      <c r="DC120" s="94">
        <v>0</v>
      </c>
      <c r="DD120" s="90">
        <f t="shared" si="263"/>
        <v>0</v>
      </c>
      <c r="DE120" s="90" t="s">
        <v>211</v>
      </c>
      <c r="DF120" s="98">
        <v>0</v>
      </c>
      <c r="DG120" s="98">
        <v>0</v>
      </c>
      <c r="DH120" s="90" t="s">
        <v>209</v>
      </c>
      <c r="DI120" s="90">
        <f>(100000*11.6)/1000</f>
        <v>1160</v>
      </c>
      <c r="DJ120" s="43">
        <f t="shared" si="258"/>
        <v>0.05</v>
      </c>
      <c r="DK120" s="43">
        <f t="shared" si="259"/>
        <v>0.05</v>
      </c>
      <c r="DP120" s="685"/>
      <c r="DQ120" s="687"/>
      <c r="DR120" s="392" t="s">
        <v>231</v>
      </c>
      <c r="DS120" s="418">
        <v>0.49</v>
      </c>
      <c r="DT120" s="418">
        <v>0.49</v>
      </c>
      <c r="DU120" s="418">
        <v>0.49</v>
      </c>
      <c r="DV120" s="694"/>
      <c r="DW120" s="694"/>
      <c r="DX120" s="695"/>
      <c r="DZ120" s="397"/>
      <c r="EA120" s="397"/>
      <c r="EB120" s="397"/>
      <c r="EC120" s="570" t="s">
        <v>232</v>
      </c>
      <c r="ED120" s="397"/>
      <c r="EE120" s="397"/>
      <c r="EF120" s="397"/>
      <c r="EG120" s="397"/>
      <c r="EI120" s="396" t="s">
        <v>233</v>
      </c>
    </row>
    <row r="121" spans="1:150" s="30" customFormat="1" ht="16.5" customHeight="1" thickBot="1">
      <c r="X121" s="67"/>
      <c r="AB121" s="68"/>
      <c r="AD121" s="71"/>
      <c r="AE121" s="71"/>
      <c r="AG121" s="71"/>
      <c r="AH121" s="73"/>
      <c r="AJ121" s="74"/>
      <c r="AL121" s="78"/>
      <c r="AM121" s="78"/>
      <c r="AO121" s="71"/>
      <c r="AR121" s="74"/>
      <c r="AW121" s="71"/>
      <c r="AZ121" s="74"/>
      <c r="BB121" s="71"/>
      <c r="BD121" s="71"/>
      <c r="BG121" s="74"/>
      <c r="BI121" s="71"/>
      <c r="BK121" s="71"/>
      <c r="BN121" s="74"/>
      <c r="BP121" s="71"/>
      <c r="BQ121" s="71"/>
      <c r="BS121" s="71"/>
      <c r="BV121" s="74"/>
      <c r="BX121" s="71"/>
      <c r="BZ121" s="71"/>
      <c r="CC121" s="88"/>
      <c r="CD121" s="92" t="s">
        <v>234</v>
      </c>
      <c r="CE121" s="90" t="s">
        <v>217</v>
      </c>
      <c r="CF121" s="93">
        <v>0</v>
      </c>
      <c r="CG121" s="90" t="s">
        <v>208</v>
      </c>
      <c r="CH121" s="97">
        <v>0.05</v>
      </c>
      <c r="CI121" s="97">
        <v>0.05</v>
      </c>
      <c r="CJ121" s="97" t="s">
        <v>209</v>
      </c>
      <c r="CK121" s="102">
        <v>560.82000000000005</v>
      </c>
      <c r="CL121" s="90">
        <f t="shared" si="260"/>
        <v>0.5608200000000001</v>
      </c>
      <c r="CM121" s="90" t="s">
        <v>210</v>
      </c>
      <c r="CN121" s="98">
        <v>0.33333333333333298</v>
      </c>
      <c r="CO121" s="98">
        <v>3.3333333333333299</v>
      </c>
      <c r="CP121" s="90" t="s">
        <v>209</v>
      </c>
      <c r="CQ121" s="94">
        <v>74.775999999999996</v>
      </c>
      <c r="CR121" s="90">
        <f t="shared" si="261"/>
        <v>7.4775999999999995E-2</v>
      </c>
      <c r="CS121" s="90" t="s">
        <v>211</v>
      </c>
      <c r="CT121" s="98">
        <v>0.375</v>
      </c>
      <c r="CU121" s="98">
        <v>3.75</v>
      </c>
      <c r="CV121" s="90" t="s">
        <v>209</v>
      </c>
      <c r="CW121" s="90">
        <v>0</v>
      </c>
      <c r="CX121" s="90">
        <f t="shared" si="262"/>
        <v>0</v>
      </c>
      <c r="CY121" s="90" t="s">
        <v>210</v>
      </c>
      <c r="CZ121" s="98">
        <v>0</v>
      </c>
      <c r="DA121" s="98">
        <v>0</v>
      </c>
      <c r="DB121" s="90" t="s">
        <v>209</v>
      </c>
      <c r="DC121" s="94">
        <v>0</v>
      </c>
      <c r="DD121" s="90">
        <f t="shared" si="263"/>
        <v>0</v>
      </c>
      <c r="DE121" s="90" t="s">
        <v>211</v>
      </c>
      <c r="DF121" s="98">
        <v>0</v>
      </c>
      <c r="DG121" s="98">
        <v>0</v>
      </c>
      <c r="DH121" s="90" t="s">
        <v>209</v>
      </c>
      <c r="DI121" s="90">
        <f>(112000*29.5)/1000</f>
        <v>3304</v>
      </c>
      <c r="DJ121" s="43">
        <f t="shared" si="258"/>
        <v>0.05</v>
      </c>
      <c r="DK121" s="43">
        <f t="shared" si="259"/>
        <v>0.05</v>
      </c>
      <c r="DP121" s="685"/>
      <c r="DQ121" s="687"/>
      <c r="DR121" s="392" t="s">
        <v>219</v>
      </c>
      <c r="DS121" s="419">
        <v>0.47</v>
      </c>
      <c r="DT121" s="419">
        <v>0.47</v>
      </c>
      <c r="DU121" s="419">
        <v>0.47</v>
      </c>
      <c r="DV121" s="694"/>
      <c r="DW121" s="694"/>
      <c r="DX121" s="695"/>
      <c r="DZ121" s="397"/>
      <c r="EA121" s="397"/>
      <c r="EB121" s="397"/>
      <c r="EC121" s="571" t="s">
        <v>147</v>
      </c>
      <c r="ED121" s="397"/>
      <c r="EE121" s="397"/>
      <c r="EF121" s="397"/>
      <c r="EG121" s="397"/>
      <c r="EI121" s="396" t="s">
        <v>235</v>
      </c>
    </row>
    <row r="122" spans="1:150" s="30" customFormat="1" ht="16.5" customHeight="1" thickBot="1">
      <c r="X122" s="67"/>
      <c r="AB122" s="68"/>
      <c r="AD122" s="71"/>
      <c r="AE122" s="71"/>
      <c r="AG122" s="71"/>
      <c r="AH122" s="73"/>
      <c r="AJ122" s="74"/>
      <c r="AL122" s="78"/>
      <c r="AM122" s="78"/>
      <c r="AO122" s="71"/>
      <c r="AR122" s="74"/>
      <c r="AW122" s="71"/>
      <c r="AZ122" s="74"/>
      <c r="BB122" s="71"/>
      <c r="BD122" s="71"/>
      <c r="BG122" s="74"/>
      <c r="BI122" s="71"/>
      <c r="BK122" s="71"/>
      <c r="BN122" s="74"/>
      <c r="BP122" s="71"/>
      <c r="BQ122" s="71"/>
      <c r="BS122" s="71"/>
      <c r="BV122" s="74"/>
      <c r="BX122" s="71"/>
      <c r="BZ122" s="71"/>
      <c r="CC122" s="38"/>
      <c r="CD122" s="29"/>
      <c r="CE122" s="39"/>
      <c r="CF122" s="39"/>
      <c r="CG122" s="39"/>
      <c r="CH122" s="40"/>
      <c r="CI122" s="40"/>
      <c r="CJ122" s="40"/>
      <c r="CK122" s="103"/>
      <c r="CL122" s="103"/>
      <c r="CM122" s="103"/>
      <c r="CN122" s="103"/>
      <c r="CO122" s="103"/>
      <c r="CP122" s="103"/>
      <c r="CQ122" s="39"/>
      <c r="CR122" s="103"/>
      <c r="CS122" s="103"/>
      <c r="CT122" s="39"/>
      <c r="CU122" s="39"/>
      <c r="CV122" s="39"/>
      <c r="CW122" s="41"/>
      <c r="CX122" s="103"/>
      <c r="CY122" s="103"/>
      <c r="CZ122" s="41"/>
      <c r="DA122" s="41"/>
      <c r="DB122" s="41"/>
      <c r="DC122" s="41"/>
      <c r="DD122" s="103"/>
      <c r="DE122" s="103"/>
      <c r="DF122" s="41"/>
      <c r="DG122" s="41"/>
      <c r="DH122" s="41"/>
      <c r="DI122" s="42"/>
      <c r="DJ122" s="43">
        <f t="shared" si="258"/>
        <v>0</v>
      </c>
      <c r="DK122" s="43">
        <f t="shared" si="259"/>
        <v>0</v>
      </c>
      <c r="DP122" s="685"/>
      <c r="DQ122" s="687"/>
      <c r="DR122" s="392" t="s">
        <v>223</v>
      </c>
      <c r="DS122" s="420">
        <v>0.49</v>
      </c>
      <c r="DT122" s="420">
        <v>0.49</v>
      </c>
      <c r="DU122" s="420">
        <v>0.49</v>
      </c>
      <c r="DV122" s="694"/>
      <c r="DW122" s="694"/>
      <c r="DX122" s="695"/>
      <c r="EI122" s="396" t="s">
        <v>236</v>
      </c>
      <c r="EK122" s="155" t="s">
        <v>237</v>
      </c>
    </row>
    <row r="123" spans="1:150" s="30" customFormat="1" ht="16.5" customHeight="1" thickBot="1">
      <c r="X123" s="67"/>
      <c r="AB123" s="68"/>
      <c r="AD123" s="71"/>
      <c r="AE123" s="71"/>
      <c r="AG123" s="71"/>
      <c r="AH123" s="73"/>
      <c r="AJ123" s="74"/>
      <c r="AL123" s="78"/>
      <c r="AM123" s="78"/>
      <c r="AO123" s="71"/>
      <c r="AR123" s="74"/>
      <c r="AW123" s="71"/>
      <c r="AZ123" s="74"/>
      <c r="BB123" s="71"/>
      <c r="BD123" s="71"/>
      <c r="BG123" s="74"/>
      <c r="BI123" s="71"/>
      <c r="BK123" s="71"/>
      <c r="BN123" s="74"/>
      <c r="BP123" s="71"/>
      <c r="BQ123" s="71"/>
      <c r="BS123" s="71"/>
      <c r="BV123" s="74"/>
      <c r="BX123" s="71"/>
      <c r="BZ123" s="71"/>
      <c r="CC123" s="38"/>
      <c r="CD123" s="29"/>
      <c r="CE123" s="39"/>
      <c r="CF123" s="39"/>
      <c r="CG123" s="39"/>
      <c r="CH123" s="40"/>
      <c r="CI123" s="40"/>
      <c r="CJ123" s="40"/>
      <c r="CK123" s="103"/>
      <c r="CL123" s="103"/>
      <c r="CM123" s="103"/>
      <c r="CN123" s="103"/>
      <c r="CO123" s="103"/>
      <c r="CP123" s="103"/>
      <c r="CQ123" s="39"/>
      <c r="CR123" s="103"/>
      <c r="CS123" s="103"/>
      <c r="CT123" s="39"/>
      <c r="CU123" s="39"/>
      <c r="CV123" s="39"/>
      <c r="CW123" s="41"/>
      <c r="CX123" s="103"/>
      <c r="CY123" s="103"/>
      <c r="CZ123" s="41"/>
      <c r="DA123" s="41"/>
      <c r="DB123" s="41"/>
      <c r="DC123" s="41"/>
      <c r="DD123" s="103"/>
      <c r="DE123" s="103"/>
      <c r="DF123" s="41"/>
      <c r="DG123" s="41"/>
      <c r="DH123" s="41"/>
      <c r="DI123" s="42"/>
      <c r="DJ123" s="43">
        <f t="shared" si="258"/>
        <v>0</v>
      </c>
      <c r="DK123" s="43">
        <f t="shared" si="259"/>
        <v>0</v>
      </c>
      <c r="DP123" s="685" t="s">
        <v>134</v>
      </c>
      <c r="DQ123" s="732" t="s">
        <v>238</v>
      </c>
      <c r="DR123" s="392" t="s">
        <v>173</v>
      </c>
      <c r="DS123" s="421">
        <v>0.28299999999999997</v>
      </c>
      <c r="DT123" s="421">
        <v>0.221</v>
      </c>
      <c r="DU123" s="421">
        <v>0.28399999999999997</v>
      </c>
      <c r="DV123" s="733" t="s">
        <v>239</v>
      </c>
      <c r="DW123" s="733"/>
      <c r="DX123" s="734"/>
      <c r="DZ123" s="401" t="s">
        <v>125</v>
      </c>
      <c r="EA123" s="404" t="s">
        <v>240</v>
      </c>
      <c r="EB123" s="404" t="s">
        <v>134</v>
      </c>
      <c r="EC123" s="404" t="s">
        <v>135</v>
      </c>
      <c r="ED123" s="402" t="s">
        <v>241</v>
      </c>
      <c r="EG123" s="437" t="str">
        <f>CONCATENATE(D78,E78)</f>
        <v/>
      </c>
      <c r="EI123" s="396" t="s">
        <v>242</v>
      </c>
      <c r="EK123" s="669" t="s">
        <v>243</v>
      </c>
      <c r="EL123" s="704" t="s">
        <v>244</v>
      </c>
      <c r="EM123" s="699" t="s">
        <v>245</v>
      </c>
      <c r="EN123" s="699" t="s">
        <v>246</v>
      </c>
      <c r="EO123" s="699" t="s">
        <v>153</v>
      </c>
      <c r="EP123" s="699" t="s">
        <v>154</v>
      </c>
      <c r="EQ123" s="699" t="s">
        <v>155</v>
      </c>
      <c r="ER123" s="699" t="s">
        <v>247</v>
      </c>
      <c r="ES123" s="699" t="s">
        <v>157</v>
      </c>
      <c r="ET123" s="699" t="s">
        <v>248</v>
      </c>
    </row>
    <row r="124" spans="1:150" s="30" customFormat="1" ht="26.25" customHeight="1" thickBot="1">
      <c r="X124" s="67"/>
      <c r="AB124" s="68"/>
      <c r="AD124" s="71"/>
      <c r="AE124" s="71"/>
      <c r="AG124" s="71"/>
      <c r="AH124" s="73"/>
      <c r="AJ124" s="74"/>
      <c r="AL124" s="78"/>
      <c r="AM124" s="78"/>
      <c r="AO124" s="71"/>
      <c r="AR124" s="74"/>
      <c r="AW124" s="71"/>
      <c r="AZ124" s="74"/>
      <c r="BB124" s="71"/>
      <c r="BD124" s="71"/>
      <c r="BG124" s="74"/>
      <c r="BI124" s="71"/>
      <c r="BK124" s="71"/>
      <c r="BN124" s="74"/>
      <c r="BP124" s="71"/>
      <c r="BQ124" s="71"/>
      <c r="BS124" s="71"/>
      <c r="BV124" s="74"/>
      <c r="BX124" s="71"/>
      <c r="BZ124" s="71"/>
      <c r="CC124" s="38"/>
      <c r="CD124" s="710" t="s">
        <v>249</v>
      </c>
      <c r="CE124" s="85"/>
      <c r="CF124" s="710" t="s">
        <v>250</v>
      </c>
      <c r="CG124" s="85"/>
      <c r="CH124" s="710" t="s">
        <v>181</v>
      </c>
      <c r="CI124" s="710" t="s">
        <v>181</v>
      </c>
      <c r="CJ124" s="710" t="s">
        <v>182</v>
      </c>
      <c r="CK124" s="707" t="s">
        <v>183</v>
      </c>
      <c r="CL124" s="708"/>
      <c r="CM124" s="708"/>
      <c r="CN124" s="708"/>
      <c r="CO124" s="708"/>
      <c r="CP124" s="708"/>
      <c r="CQ124" s="708"/>
      <c r="CR124" s="708"/>
      <c r="CS124" s="708"/>
      <c r="CT124" s="708"/>
      <c r="CU124" s="708"/>
      <c r="CV124" s="709"/>
      <c r="CW124" s="707" t="s">
        <v>184</v>
      </c>
      <c r="CX124" s="708"/>
      <c r="CY124" s="708"/>
      <c r="CZ124" s="708"/>
      <c r="DA124" s="708"/>
      <c r="DB124" s="708"/>
      <c r="DC124" s="708"/>
      <c r="DD124" s="708"/>
      <c r="DE124" s="708"/>
      <c r="DF124" s="708"/>
      <c r="DG124" s="708"/>
      <c r="DH124" s="709"/>
      <c r="DI124" s="84" t="s">
        <v>185</v>
      </c>
      <c r="DJ124" s="43" t="str">
        <f t="shared" si="258"/>
        <v>Incertidumbre (+/- %)</v>
      </c>
      <c r="DK124" s="43" t="str">
        <f t="shared" si="259"/>
        <v>Incertidumbre (+/- %)</v>
      </c>
      <c r="DP124" s="685"/>
      <c r="DQ124" s="732"/>
      <c r="DR124" s="392" t="s">
        <v>251</v>
      </c>
      <c r="DS124" s="419">
        <v>0.34799999999999998</v>
      </c>
      <c r="DT124" s="422">
        <v>0.221</v>
      </c>
      <c r="DU124" s="422">
        <v>0.28449999999999998</v>
      </c>
      <c r="DV124" s="733" t="s">
        <v>239</v>
      </c>
      <c r="DW124" s="733"/>
      <c r="DX124" s="734"/>
      <c r="DZ124" s="399" t="s">
        <v>252</v>
      </c>
      <c r="EA124" s="424">
        <v>0</v>
      </c>
      <c r="EB124" s="390">
        <v>0.28299999999999997</v>
      </c>
      <c r="EC124" s="390">
        <v>20.9</v>
      </c>
      <c r="ED124" s="407">
        <v>0.49</v>
      </c>
      <c r="EG124" s="438" t="str">
        <f>CONCATENATE(D79,E79)</f>
        <v/>
      </c>
      <c r="EI124" s="396" t="s">
        <v>253</v>
      </c>
      <c r="EK124" s="670"/>
      <c r="EL124" s="705"/>
      <c r="EM124" s="700"/>
      <c r="EN124" s="703"/>
      <c r="EO124" s="700"/>
      <c r="EP124" s="700"/>
      <c r="EQ124" s="700"/>
      <c r="ER124" s="700"/>
      <c r="ES124" s="700"/>
      <c r="ET124" s="700"/>
    </row>
    <row r="125" spans="1:150" s="30" customFormat="1" ht="58.5" customHeight="1" thickBot="1">
      <c r="X125" s="67"/>
      <c r="AB125" s="68"/>
      <c r="AD125" s="71"/>
      <c r="AE125" s="71"/>
      <c r="AG125" s="71"/>
      <c r="AH125" s="73"/>
      <c r="AJ125" s="74"/>
      <c r="AL125" s="78"/>
      <c r="AM125" s="78"/>
      <c r="AO125" s="71"/>
      <c r="AR125" s="74"/>
      <c r="AW125" s="71"/>
      <c r="AZ125" s="74"/>
      <c r="BB125" s="71"/>
      <c r="BD125" s="71"/>
      <c r="BG125" s="74"/>
      <c r="BI125" s="71"/>
      <c r="BK125" s="71"/>
      <c r="BN125" s="74"/>
      <c r="BP125" s="71"/>
      <c r="BQ125" s="71"/>
      <c r="BS125" s="71"/>
      <c r="BV125" s="74"/>
      <c r="BX125" s="71"/>
      <c r="BZ125" s="71"/>
      <c r="CC125" s="38"/>
      <c r="CD125" s="711"/>
      <c r="CE125" s="87" t="s">
        <v>193</v>
      </c>
      <c r="CF125" s="711"/>
      <c r="CG125" s="87" t="s">
        <v>194</v>
      </c>
      <c r="CH125" s="711"/>
      <c r="CI125" s="711"/>
      <c r="CJ125" s="711"/>
      <c r="CK125" s="101" t="s">
        <v>254</v>
      </c>
      <c r="CL125" s="101" t="s">
        <v>255</v>
      </c>
      <c r="CM125" s="87" t="s">
        <v>194</v>
      </c>
      <c r="CN125" s="101" t="s">
        <v>181</v>
      </c>
      <c r="CO125" s="101" t="s">
        <v>181</v>
      </c>
      <c r="CP125" s="101" t="s">
        <v>182</v>
      </c>
      <c r="CQ125" s="101" t="s">
        <v>256</v>
      </c>
      <c r="CR125" s="101" t="s">
        <v>257</v>
      </c>
      <c r="CS125" s="87" t="s">
        <v>194</v>
      </c>
      <c r="CT125" s="101" t="s">
        <v>181</v>
      </c>
      <c r="CU125" s="101" t="s">
        <v>181</v>
      </c>
      <c r="CV125" s="101" t="s">
        <v>182</v>
      </c>
      <c r="CW125" s="101" t="s">
        <v>254</v>
      </c>
      <c r="CX125" s="101" t="s">
        <v>255</v>
      </c>
      <c r="CY125" s="87" t="s">
        <v>194</v>
      </c>
      <c r="CZ125" s="101" t="s">
        <v>181</v>
      </c>
      <c r="DA125" s="101" t="s">
        <v>181</v>
      </c>
      <c r="DB125" s="101" t="s">
        <v>182</v>
      </c>
      <c r="DC125" s="101" t="s">
        <v>256</v>
      </c>
      <c r="DD125" s="101" t="s">
        <v>257</v>
      </c>
      <c r="DE125" s="87" t="s">
        <v>194</v>
      </c>
      <c r="DF125" s="101" t="s">
        <v>181</v>
      </c>
      <c r="DG125" s="101" t="s">
        <v>181</v>
      </c>
      <c r="DH125" s="101" t="s">
        <v>182</v>
      </c>
      <c r="DI125" s="84" t="s">
        <v>199</v>
      </c>
      <c r="DJ125" s="43">
        <f t="shared" si="258"/>
        <v>0</v>
      </c>
      <c r="DK125" s="43">
        <f t="shared" si="259"/>
        <v>0</v>
      </c>
      <c r="DP125" s="685"/>
      <c r="DQ125" s="732"/>
      <c r="DR125" s="392" t="s">
        <v>190</v>
      </c>
      <c r="DS125" s="419">
        <v>0.49</v>
      </c>
      <c r="DT125" s="419">
        <v>0.49</v>
      </c>
      <c r="DU125" s="419">
        <v>0.49</v>
      </c>
      <c r="DV125" s="735" t="s">
        <v>258</v>
      </c>
      <c r="DW125" s="735"/>
      <c r="DX125" s="736"/>
      <c r="DZ125" s="399" t="s">
        <v>259</v>
      </c>
      <c r="EA125" s="424">
        <v>0</v>
      </c>
      <c r="EB125" s="390">
        <v>0.221</v>
      </c>
      <c r="EC125" s="390">
        <v>20.9</v>
      </c>
      <c r="ED125" s="407">
        <v>0.49</v>
      </c>
      <c r="EG125" s="438"/>
      <c r="EK125" s="670"/>
      <c r="EL125" s="705"/>
      <c r="EM125" s="701"/>
      <c r="EN125" s="702"/>
      <c r="EO125" s="701"/>
      <c r="EP125" s="701"/>
      <c r="EQ125" s="701"/>
      <c r="ER125" s="701"/>
      <c r="ES125" s="701"/>
      <c r="ET125" s="701"/>
    </row>
    <row r="126" spans="1:150" s="30" customFormat="1" ht="16.5" customHeight="1" thickBot="1">
      <c r="X126" s="67"/>
      <c r="AB126" s="68"/>
      <c r="AD126" s="71"/>
      <c r="AE126" s="71"/>
      <c r="AG126" s="77"/>
      <c r="AH126" s="73"/>
      <c r="AJ126" s="74"/>
      <c r="AL126" s="78"/>
      <c r="AM126" s="78"/>
      <c r="AO126" s="77"/>
      <c r="AR126" s="74"/>
      <c r="AW126" s="77"/>
      <c r="AZ126" s="74"/>
      <c r="BB126" s="71"/>
      <c r="BD126" s="77"/>
      <c r="BG126" s="74"/>
      <c r="BI126" s="71"/>
      <c r="BK126" s="77"/>
      <c r="BN126" s="74"/>
      <c r="BP126" s="71"/>
      <c r="BQ126" s="71"/>
      <c r="BR126" s="80"/>
      <c r="BS126" s="77"/>
      <c r="BV126" s="74"/>
      <c r="BX126" s="71"/>
      <c r="BY126" s="80"/>
      <c r="BZ126" s="77"/>
      <c r="CC126" s="88"/>
      <c r="CD126" s="92" t="s">
        <v>260</v>
      </c>
      <c r="CE126" s="94" t="s">
        <v>261</v>
      </c>
      <c r="CF126" s="94">
        <f>(74100*43*0.88)/(1000000)</f>
        <v>2.803944</v>
      </c>
      <c r="CG126" s="90" t="s">
        <v>262</v>
      </c>
      <c r="CH126" s="97">
        <v>0.05</v>
      </c>
      <c r="CI126" s="97">
        <v>0.05</v>
      </c>
      <c r="CJ126" s="97" t="s">
        <v>209</v>
      </c>
      <c r="CK126" s="94">
        <f>0.01/3.785</f>
        <v>2.6420079260237781E-3</v>
      </c>
      <c r="CL126" s="102">
        <f>CK126/1000</f>
        <v>2.6420079260237779E-6</v>
      </c>
      <c r="CM126" s="90" t="s">
        <v>263</v>
      </c>
      <c r="CN126" s="98">
        <v>0.33333333333333298</v>
      </c>
      <c r="CO126" s="98">
        <v>3.3333333333333299</v>
      </c>
      <c r="CP126" s="90" t="s">
        <v>209</v>
      </c>
      <c r="CQ126" s="94">
        <f>0.006/3.785</f>
        <v>1.5852047556142669E-3</v>
      </c>
      <c r="CR126" s="102">
        <f>CQ126/(1000*3.785)</f>
        <v>4.1881235287034794E-7</v>
      </c>
      <c r="CS126" s="90" t="s">
        <v>264</v>
      </c>
      <c r="CT126" s="98">
        <v>0.33333333333333298</v>
      </c>
      <c r="CU126" s="98">
        <v>3.3333333333333299</v>
      </c>
      <c r="CV126" s="90" t="s">
        <v>209</v>
      </c>
      <c r="CW126" s="94">
        <f>0.037/3.785</f>
        <v>9.7754293262879779E-3</v>
      </c>
      <c r="CX126" s="102">
        <f>CW126/1000</f>
        <v>9.775429326287978E-6</v>
      </c>
      <c r="CY126" s="90" t="s">
        <v>263</v>
      </c>
      <c r="CZ126" s="98">
        <v>0.41025641025641002</v>
      </c>
      <c r="DA126" s="98">
        <v>2.4358974358974401</v>
      </c>
      <c r="DB126" s="90" t="s">
        <v>209</v>
      </c>
      <c r="DC126" s="94">
        <f>0.037/3.785</f>
        <v>9.7754293262879779E-3</v>
      </c>
      <c r="DD126" s="102">
        <f>DC126/1000</f>
        <v>9.775429326287978E-6</v>
      </c>
      <c r="DE126" s="90" t="s">
        <v>264</v>
      </c>
      <c r="DF126" s="98">
        <v>0.33333333333333298</v>
      </c>
      <c r="DG126" s="98">
        <v>3.0769230769230802</v>
      </c>
      <c r="DH126" s="90" t="s">
        <v>209</v>
      </c>
      <c r="DI126" s="90"/>
      <c r="DJ126" s="43">
        <f t="shared" si="258"/>
        <v>0.05</v>
      </c>
      <c r="DK126" s="43">
        <f t="shared" si="259"/>
        <v>0.05</v>
      </c>
      <c r="DP126" s="685"/>
      <c r="DQ126" s="732"/>
      <c r="DR126" s="392" t="s">
        <v>204</v>
      </c>
      <c r="DS126" s="419">
        <v>0.17</v>
      </c>
      <c r="DT126" s="419">
        <v>0.17</v>
      </c>
      <c r="DU126" s="419">
        <v>0.17</v>
      </c>
      <c r="DV126" s="733" t="s">
        <v>265</v>
      </c>
      <c r="DW126" s="733"/>
      <c r="DX126" s="734"/>
      <c r="DZ126" s="399" t="s">
        <v>266</v>
      </c>
      <c r="EA126" s="424">
        <v>0</v>
      </c>
      <c r="EB126" s="390">
        <v>0.28399999999999997</v>
      </c>
      <c r="EC126" s="390">
        <v>20.9</v>
      </c>
      <c r="ED126" s="407">
        <v>0.49</v>
      </c>
      <c r="EG126" s="438" t="e">
        <f>CONCATENATE(E81,#REF!)</f>
        <v>#REF!</v>
      </c>
      <c r="EK126" s="670"/>
      <c r="EL126" s="705"/>
      <c r="EM126" s="699" t="s">
        <v>267</v>
      </c>
      <c r="EN126" s="699" t="s">
        <v>268</v>
      </c>
      <c r="EO126" s="699" t="s">
        <v>269</v>
      </c>
      <c r="EP126" s="699" t="s">
        <v>269</v>
      </c>
      <c r="EQ126" s="699" t="s">
        <v>269</v>
      </c>
      <c r="ER126" s="699" t="s">
        <v>269</v>
      </c>
      <c r="ES126" s="699" t="s">
        <v>270</v>
      </c>
      <c r="ET126" s="699" t="s">
        <v>271</v>
      </c>
    </row>
    <row r="127" spans="1:150" s="30" customFormat="1" ht="16.5" customHeight="1" thickBot="1">
      <c r="X127" s="67"/>
      <c r="AB127" s="68"/>
      <c r="AD127" s="71"/>
      <c r="AE127" s="71"/>
      <c r="AG127" s="77"/>
      <c r="AH127" s="73"/>
      <c r="AJ127" s="74"/>
      <c r="AL127" s="78"/>
      <c r="AM127" s="78"/>
      <c r="AO127" s="77"/>
      <c r="AR127" s="74"/>
      <c r="AW127" s="77"/>
      <c r="AZ127" s="74"/>
      <c r="BB127" s="71"/>
      <c r="BD127" s="77"/>
      <c r="BG127" s="74"/>
      <c r="BI127" s="71"/>
      <c r="BK127" s="77"/>
      <c r="BN127" s="74"/>
      <c r="BP127" s="71"/>
      <c r="BQ127" s="71"/>
      <c r="BR127" s="80"/>
      <c r="BS127" s="77"/>
      <c r="BV127" s="74"/>
      <c r="BX127" s="71"/>
      <c r="BY127" s="80"/>
      <c r="BZ127" s="77"/>
      <c r="CC127" s="88"/>
      <c r="CD127" s="92" t="s">
        <v>272</v>
      </c>
      <c r="CE127" s="94" t="s">
        <v>261</v>
      </c>
      <c r="CF127" s="94">
        <f>(69300*44.3*0.75)/(1000000)</f>
        <v>2.3024925000000001</v>
      </c>
      <c r="CG127" s="90" t="s">
        <v>262</v>
      </c>
      <c r="CH127" s="97">
        <v>0.05</v>
      </c>
      <c r="CI127" s="97">
        <v>0.05</v>
      </c>
      <c r="CJ127" s="97" t="s">
        <v>209</v>
      </c>
      <c r="CK127" s="94">
        <f>0.0266/3.785</f>
        <v>7.0277410832232491E-3</v>
      </c>
      <c r="CL127" s="102">
        <f>CK127/1000</f>
        <v>7.0277410832232488E-6</v>
      </c>
      <c r="CM127" s="90" t="s">
        <v>263</v>
      </c>
      <c r="CN127" s="98">
        <v>0.33333333333333298</v>
      </c>
      <c r="CO127" s="98">
        <v>3.3333333333333299</v>
      </c>
      <c r="CP127" s="90" t="s">
        <v>209</v>
      </c>
      <c r="CQ127" s="94">
        <f>0.0053/3.785</f>
        <v>1.4002642007926024E-3</v>
      </c>
      <c r="CR127" s="102">
        <f>CQ127/1000</f>
        <v>1.4002642007926023E-6</v>
      </c>
      <c r="CS127" s="90" t="s">
        <v>264</v>
      </c>
      <c r="CT127" s="98">
        <v>0.33333333333333298</v>
      </c>
      <c r="CU127" s="98">
        <v>3.3333333333333299</v>
      </c>
      <c r="CV127" s="90" t="s">
        <v>209</v>
      </c>
      <c r="CW127" s="94">
        <f t="shared" ref="CW127:CW132" si="264">0.037/3.785</f>
        <v>9.7754293262879779E-3</v>
      </c>
      <c r="CX127" s="102">
        <f>CW127/1000</f>
        <v>9.775429326287978E-6</v>
      </c>
      <c r="CY127" s="90" t="s">
        <v>263</v>
      </c>
      <c r="CZ127" s="98">
        <v>0.29090909090909101</v>
      </c>
      <c r="DA127" s="98">
        <v>3.3333333333333299</v>
      </c>
      <c r="DB127" s="90" t="s">
        <v>209</v>
      </c>
      <c r="DC127" s="94">
        <f>0.0284/3.785</f>
        <v>7.5033025099075302E-3</v>
      </c>
      <c r="DD127" s="102">
        <f>DC127/1000</f>
        <v>7.5033025099075301E-6</v>
      </c>
      <c r="DE127" s="90" t="s">
        <v>264</v>
      </c>
      <c r="DF127" s="98">
        <v>0.3</v>
      </c>
      <c r="DG127" s="98">
        <v>3.4375</v>
      </c>
      <c r="DH127" s="90" t="s">
        <v>209</v>
      </c>
      <c r="DI127" s="104"/>
      <c r="DJ127" s="43">
        <f t="shared" si="258"/>
        <v>0.05</v>
      </c>
      <c r="DK127" s="43">
        <f t="shared" si="259"/>
        <v>0.05</v>
      </c>
      <c r="DP127" s="685"/>
      <c r="DQ127" s="732"/>
      <c r="DR127" s="392" t="s">
        <v>273</v>
      </c>
      <c r="DS127" s="419">
        <v>0.17</v>
      </c>
      <c r="DT127" s="419">
        <v>0.17</v>
      </c>
      <c r="DU127" s="419">
        <v>0.17</v>
      </c>
      <c r="DV127" s="733"/>
      <c r="DW127" s="733"/>
      <c r="DX127" s="734"/>
      <c r="DZ127" s="399" t="s">
        <v>274</v>
      </c>
      <c r="EA127" s="424">
        <v>0</v>
      </c>
      <c r="EB127" s="390">
        <v>0.34799999999999998</v>
      </c>
      <c r="EC127" s="390">
        <v>15.18</v>
      </c>
      <c r="ED127" s="407">
        <v>0.49</v>
      </c>
      <c r="EG127" s="438" t="str">
        <f>CONCATENATE(D82,E82)</f>
        <v>Pastizales</v>
      </c>
      <c r="EK127" s="670"/>
      <c r="EL127" s="705"/>
      <c r="EM127" s="700"/>
      <c r="EN127" s="702"/>
      <c r="EO127" s="701"/>
      <c r="EP127" s="701"/>
      <c r="EQ127" s="701"/>
      <c r="ER127" s="701"/>
      <c r="ES127" s="700"/>
      <c r="ET127" s="700"/>
    </row>
    <row r="128" spans="1:150" s="30" customFormat="1" ht="47.65" thickBot="1">
      <c r="X128" s="67"/>
      <c r="AB128" s="68"/>
      <c r="AD128" s="71"/>
      <c r="AE128" s="71"/>
      <c r="AG128" s="71"/>
      <c r="AH128" s="73"/>
      <c r="AJ128" s="74"/>
      <c r="AL128" s="78"/>
      <c r="AM128" s="78"/>
      <c r="AO128" s="71"/>
      <c r="AR128" s="74"/>
      <c r="AW128" s="71"/>
      <c r="AZ128" s="74"/>
      <c r="BB128" s="71"/>
      <c r="BD128" s="71"/>
      <c r="BG128" s="74"/>
      <c r="BI128" s="71"/>
      <c r="BK128" s="71"/>
      <c r="BN128" s="74"/>
      <c r="BP128" s="71"/>
      <c r="BQ128" s="71"/>
      <c r="BS128" s="71"/>
      <c r="BV128" s="74"/>
      <c r="BX128" s="71"/>
      <c r="BZ128" s="71"/>
      <c r="CC128" s="88"/>
      <c r="CD128" s="89" t="s">
        <v>275</v>
      </c>
      <c r="CE128" s="94" t="s">
        <v>261</v>
      </c>
      <c r="CF128" s="94">
        <f>(71900*44.1*0.82)/(1000000)</f>
        <v>2.6000478</v>
      </c>
      <c r="CG128" s="90" t="s">
        <v>262</v>
      </c>
      <c r="CH128" s="97">
        <v>0.05</v>
      </c>
      <c r="CI128" s="97">
        <v>0.05</v>
      </c>
      <c r="CJ128" s="97" t="s">
        <v>209</v>
      </c>
      <c r="CK128" s="102">
        <f>0.0272/3.785</f>
        <v>7.1862615587846759E-3</v>
      </c>
      <c r="CL128" s="102">
        <f>CK128/1000</f>
        <v>7.1862615587846759E-6</v>
      </c>
      <c r="CM128" s="90" t="s">
        <v>263</v>
      </c>
      <c r="CN128" s="98">
        <v>0.33333333333333298</v>
      </c>
      <c r="CO128" s="98">
        <v>3.3333333333333299</v>
      </c>
      <c r="CP128" s="90" t="s">
        <v>209</v>
      </c>
      <c r="CQ128" s="94">
        <f>0.0054/3.785</f>
        <v>1.4266842800528402E-3</v>
      </c>
      <c r="CR128" s="102">
        <f>CQ128/1000</f>
        <v>1.4266842800528402E-6</v>
      </c>
      <c r="CS128" s="90" t="s">
        <v>264</v>
      </c>
      <c r="CT128" s="98">
        <v>0.33333333333333298</v>
      </c>
      <c r="CU128" s="98">
        <v>3.3333333333333299</v>
      </c>
      <c r="CV128" s="90" t="s">
        <v>209</v>
      </c>
      <c r="CW128" s="94">
        <f t="shared" si="264"/>
        <v>9.7754293262879779E-3</v>
      </c>
      <c r="CX128" s="102">
        <f>CW128/1000</f>
        <v>9.775429326287978E-6</v>
      </c>
      <c r="CY128" s="90" t="s">
        <v>263</v>
      </c>
      <c r="CZ128" s="98">
        <v>0.33333333333333298</v>
      </c>
      <c r="DA128" s="98">
        <v>3.3333333333333299</v>
      </c>
      <c r="DB128" s="90" t="s">
        <v>209</v>
      </c>
      <c r="DC128" s="94">
        <f>0.0054/3.785</f>
        <v>1.4266842800528402E-3</v>
      </c>
      <c r="DD128" s="102">
        <f>DC128/1000</f>
        <v>1.4266842800528402E-6</v>
      </c>
      <c r="DE128" s="90" t="s">
        <v>264</v>
      </c>
      <c r="DF128" s="98">
        <v>0.33333333333333298</v>
      </c>
      <c r="DG128" s="98">
        <v>3.3333333333333299</v>
      </c>
      <c r="DH128" s="90" t="s">
        <v>209</v>
      </c>
      <c r="DI128" s="104"/>
      <c r="DJ128" s="43">
        <f t="shared" si="258"/>
        <v>0.05</v>
      </c>
      <c r="DK128" s="43">
        <f t="shared" si="259"/>
        <v>0.05</v>
      </c>
      <c r="DP128" s="685"/>
      <c r="DQ128" s="732"/>
      <c r="DR128" s="392" t="s">
        <v>219</v>
      </c>
      <c r="DS128" s="418">
        <v>0.4</v>
      </c>
      <c r="DT128" s="418">
        <v>0.4</v>
      </c>
      <c r="DU128" s="418">
        <v>0.4</v>
      </c>
      <c r="DV128" s="733" t="s">
        <v>276</v>
      </c>
      <c r="DW128" s="733"/>
      <c r="DX128" s="734"/>
      <c r="DZ128" s="399" t="s">
        <v>277</v>
      </c>
      <c r="EA128" s="424">
        <v>0</v>
      </c>
      <c r="EB128" s="394">
        <v>0.221</v>
      </c>
      <c r="EC128" s="390">
        <v>15.18</v>
      </c>
      <c r="ED128" s="407">
        <v>0.49</v>
      </c>
      <c r="EG128" s="439" t="str">
        <f>CONCATENATE(D83,E83)</f>
        <v>Árboles dispersos (fuera del bosque)</v>
      </c>
      <c r="EK128" s="670"/>
      <c r="EL128" s="705"/>
      <c r="EM128" s="701"/>
      <c r="EN128" s="472" t="s">
        <v>278</v>
      </c>
      <c r="EO128" s="472" t="s">
        <v>279</v>
      </c>
      <c r="EP128" s="472" t="s">
        <v>279</v>
      </c>
      <c r="EQ128" s="472" t="s">
        <v>279</v>
      </c>
      <c r="ER128" s="472" t="s">
        <v>280</v>
      </c>
      <c r="ES128" s="701"/>
      <c r="ET128" s="701"/>
    </row>
    <row r="129" spans="24:150" s="30" customFormat="1" ht="16.5" customHeight="1" thickBot="1">
      <c r="X129" s="67"/>
      <c r="AB129" s="68"/>
      <c r="AD129" s="71"/>
      <c r="AE129" s="71"/>
      <c r="AG129" s="77"/>
      <c r="AH129" s="73"/>
      <c r="AJ129" s="74"/>
      <c r="AL129" s="78"/>
      <c r="AM129" s="78"/>
      <c r="AO129" s="77"/>
      <c r="AR129" s="74"/>
      <c r="AW129" s="77"/>
      <c r="AZ129" s="74"/>
      <c r="BB129" s="71"/>
      <c r="BD129" s="77"/>
      <c r="BG129" s="74"/>
      <c r="BI129" s="71"/>
      <c r="BK129" s="77"/>
      <c r="BN129" s="74"/>
      <c r="BP129" s="71"/>
      <c r="BQ129" s="71"/>
      <c r="BR129" s="80"/>
      <c r="BS129" s="77"/>
      <c r="BV129" s="74"/>
      <c r="BX129" s="71"/>
      <c r="BY129" s="80"/>
      <c r="BZ129" s="77"/>
      <c r="CC129" s="88"/>
      <c r="CD129" s="92" t="s">
        <v>281</v>
      </c>
      <c r="CE129" s="94" t="s">
        <v>261</v>
      </c>
      <c r="CF129" s="94">
        <f>(77400*40.4*0.84)/(1000000)</f>
        <v>2.6266463999999998</v>
      </c>
      <c r="CG129" s="90" t="s">
        <v>262</v>
      </c>
      <c r="CH129" s="97">
        <v>0.05</v>
      </c>
      <c r="CI129" s="97">
        <v>0.05</v>
      </c>
      <c r="CJ129" s="97" t="s">
        <v>209</v>
      </c>
      <c r="CK129" s="94">
        <f>0.0302/3.785</f>
        <v>7.9788639365918103E-3</v>
      </c>
      <c r="CL129" s="102">
        <f t="shared" ref="CL129:CL130" si="265">CK129/1000</f>
        <v>7.9788639365918105E-6</v>
      </c>
      <c r="CM129" s="90" t="s">
        <v>263</v>
      </c>
      <c r="CN129" s="98">
        <v>0.33333333333333298</v>
      </c>
      <c r="CO129" s="98">
        <v>3.3333333333333299</v>
      </c>
      <c r="CP129" s="90" t="s">
        <v>209</v>
      </c>
      <c r="CQ129" s="94">
        <f>0.006/3.785</f>
        <v>1.5852047556142669E-3</v>
      </c>
      <c r="CR129" s="102">
        <f t="shared" ref="CR129:CR130" si="266">CQ129/1000</f>
        <v>1.5852047556142669E-6</v>
      </c>
      <c r="CS129" s="90" t="s">
        <v>264</v>
      </c>
      <c r="CT129" s="98">
        <v>0.33333333333333298</v>
      </c>
      <c r="CU129" s="98">
        <v>3.3333333333333299</v>
      </c>
      <c r="CV129" s="90" t="s">
        <v>209</v>
      </c>
      <c r="CW129" s="94">
        <f t="shared" si="264"/>
        <v>9.7754293262879779E-3</v>
      </c>
      <c r="CX129" s="102">
        <f t="shared" ref="CX129:CX130" si="267">CW129/1000</f>
        <v>9.775429326287978E-6</v>
      </c>
      <c r="CY129" s="90" t="s">
        <v>263</v>
      </c>
      <c r="CZ129" s="98">
        <v>0.33333333333333298</v>
      </c>
      <c r="DA129" s="98">
        <v>3.3333333333333299</v>
      </c>
      <c r="DB129" s="90" t="s">
        <v>209</v>
      </c>
      <c r="DC129" s="94">
        <f>0.006/3.785</f>
        <v>1.5852047556142669E-3</v>
      </c>
      <c r="DD129" s="102">
        <f t="shared" ref="DD129:DD130" si="268">DC129/1000</f>
        <v>1.5852047556142669E-6</v>
      </c>
      <c r="DE129" s="90" t="s">
        <v>264</v>
      </c>
      <c r="DF129" s="98">
        <v>0.33333333333333298</v>
      </c>
      <c r="DG129" s="98">
        <v>3.3333333333333299</v>
      </c>
      <c r="DH129" s="90" t="s">
        <v>209</v>
      </c>
      <c r="DI129" s="104"/>
      <c r="DJ129" s="43">
        <f t="shared" si="258"/>
        <v>0.05</v>
      </c>
      <c r="DK129" s="43">
        <f t="shared" si="259"/>
        <v>0.05</v>
      </c>
      <c r="DP129" s="685"/>
      <c r="DQ129" s="732"/>
      <c r="DR129" s="392" t="s">
        <v>223</v>
      </c>
      <c r="DS129" s="423">
        <v>0.35</v>
      </c>
      <c r="DT129" s="423">
        <v>0.22</v>
      </c>
      <c r="DU129" s="423">
        <v>0.28000000000000003</v>
      </c>
      <c r="DV129" s="733" t="s">
        <v>282</v>
      </c>
      <c r="DW129" s="733"/>
      <c r="DX129" s="734"/>
      <c r="DZ129" s="399" t="s">
        <v>283</v>
      </c>
      <c r="EA129" s="424">
        <v>0</v>
      </c>
      <c r="EB129" s="394">
        <v>0.28449999999999998</v>
      </c>
      <c r="EC129" s="390">
        <v>15.18</v>
      </c>
      <c r="ED129" s="407">
        <v>0.49</v>
      </c>
      <c r="EK129" s="671"/>
      <c r="EL129" s="706"/>
      <c r="EM129" s="471" t="s">
        <v>284</v>
      </c>
      <c r="EN129" s="470" t="s">
        <v>285</v>
      </c>
      <c r="EO129" s="470" t="s">
        <v>286</v>
      </c>
      <c r="EP129" s="470" t="s">
        <v>287</v>
      </c>
      <c r="EQ129" s="470" t="s">
        <v>288</v>
      </c>
      <c r="ER129" s="470" t="s">
        <v>289</v>
      </c>
      <c r="ES129" s="470" t="s">
        <v>290</v>
      </c>
      <c r="ET129" s="470" t="s">
        <v>291</v>
      </c>
    </row>
    <row r="130" spans="24:150" s="30" customFormat="1" ht="16.5" customHeight="1" thickBot="1">
      <c r="X130" s="67"/>
      <c r="AB130" s="68"/>
      <c r="AD130" s="71"/>
      <c r="AE130" s="71"/>
      <c r="AG130" s="77"/>
      <c r="AH130" s="73"/>
      <c r="AJ130" s="74"/>
      <c r="AL130" s="78"/>
      <c r="AM130" s="78"/>
      <c r="AO130" s="77"/>
      <c r="AR130" s="74"/>
      <c r="AW130" s="77"/>
      <c r="AZ130" s="74"/>
      <c r="BB130" s="71"/>
      <c r="BD130" s="77"/>
      <c r="BG130" s="74"/>
      <c r="BI130" s="71"/>
      <c r="BK130" s="77"/>
      <c r="BN130" s="74"/>
      <c r="BP130" s="71"/>
      <c r="BQ130" s="71"/>
      <c r="BR130" s="80"/>
      <c r="BS130" s="77"/>
      <c r="BV130" s="74"/>
      <c r="BX130" s="71"/>
      <c r="BY130" s="80"/>
      <c r="BZ130" s="77"/>
      <c r="CC130" s="88"/>
      <c r="CD130" s="92" t="s">
        <v>292</v>
      </c>
      <c r="CE130" s="94" t="s">
        <v>261</v>
      </c>
      <c r="CF130" s="94">
        <f>(73300*42.3*0.94)/(1000000)</f>
        <v>2.9145545999999998</v>
      </c>
      <c r="CG130" s="90" t="s">
        <v>262</v>
      </c>
      <c r="CH130" s="97">
        <v>0.05</v>
      </c>
      <c r="CI130" s="97">
        <v>0.05</v>
      </c>
      <c r="CJ130" s="97" t="s">
        <v>209</v>
      </c>
      <c r="CK130" s="94">
        <f>0.0303/3.785</f>
        <v>8.0052840158520468E-3</v>
      </c>
      <c r="CL130" s="102">
        <f t="shared" si="265"/>
        <v>8.0052840158520461E-6</v>
      </c>
      <c r="CM130" s="90" t="s">
        <v>263</v>
      </c>
      <c r="CN130" s="98">
        <v>0.33333333333333298</v>
      </c>
      <c r="CO130" s="98">
        <v>3.3333333333333299</v>
      </c>
      <c r="CP130" s="90" t="s">
        <v>209</v>
      </c>
      <c r="CQ130" s="94">
        <f>0.0061/3.785</f>
        <v>1.6116248348745047E-3</v>
      </c>
      <c r="CR130" s="102">
        <f t="shared" si="266"/>
        <v>1.6116248348745046E-6</v>
      </c>
      <c r="CS130" s="90" t="s">
        <v>264</v>
      </c>
      <c r="CT130" s="98">
        <v>0.33333333333333298</v>
      </c>
      <c r="CU130" s="98">
        <v>3.3333333333333299</v>
      </c>
      <c r="CV130" s="90" t="s">
        <v>209</v>
      </c>
      <c r="CW130" s="94">
        <f t="shared" si="264"/>
        <v>9.7754293262879779E-3</v>
      </c>
      <c r="CX130" s="102">
        <f t="shared" si="267"/>
        <v>9.775429326287978E-6</v>
      </c>
      <c r="CY130" s="90" t="s">
        <v>263</v>
      </c>
      <c r="CZ130" s="98">
        <v>0.33333333333333298</v>
      </c>
      <c r="DA130" s="98">
        <v>3.3333333333333299</v>
      </c>
      <c r="DB130" s="90" t="s">
        <v>209</v>
      </c>
      <c r="DC130" s="94">
        <f>0.0061/3.785</f>
        <v>1.6116248348745047E-3</v>
      </c>
      <c r="DD130" s="102">
        <f t="shared" si="268"/>
        <v>1.6116248348745046E-6</v>
      </c>
      <c r="DE130" s="90" t="s">
        <v>264</v>
      </c>
      <c r="DF130" s="98">
        <v>0.33333333333333298</v>
      </c>
      <c r="DG130" s="98">
        <v>3.3333333333333299</v>
      </c>
      <c r="DH130" s="90" t="s">
        <v>209</v>
      </c>
      <c r="DI130" s="104"/>
      <c r="DJ130" s="43">
        <f t="shared" si="258"/>
        <v>0.05</v>
      </c>
      <c r="DK130" s="43">
        <f t="shared" si="259"/>
        <v>0.05</v>
      </c>
      <c r="DP130" s="685" t="s">
        <v>293</v>
      </c>
      <c r="DQ130" s="737" t="s">
        <v>294</v>
      </c>
      <c r="DR130" s="389" t="s">
        <v>173</v>
      </c>
      <c r="DS130" s="424">
        <v>160.55000000000001</v>
      </c>
      <c r="DT130" s="424">
        <v>160.55000000000001</v>
      </c>
      <c r="DU130" s="424">
        <v>160.55000000000001</v>
      </c>
      <c r="DV130" s="672" t="s">
        <v>295</v>
      </c>
      <c r="DW130" s="672"/>
      <c r="DX130" s="673"/>
      <c r="DZ130" s="399" t="s">
        <v>296</v>
      </c>
      <c r="EA130" s="424">
        <v>0</v>
      </c>
      <c r="EB130" s="390"/>
      <c r="EC130" s="390"/>
      <c r="ED130" s="407"/>
      <c r="EG130" s="440" t="str">
        <f>CONCATENATE(D85,E85)</f>
        <v/>
      </c>
      <c r="EK130" s="531" t="s">
        <v>297</v>
      </c>
      <c r="EL130" s="473" t="s">
        <v>191</v>
      </c>
      <c r="EM130" s="474"/>
      <c r="EN130" s="581">
        <v>38</v>
      </c>
      <c r="EO130" s="475">
        <v>1</v>
      </c>
      <c r="EP130" s="475">
        <v>1</v>
      </c>
      <c r="EQ130" s="475">
        <v>1</v>
      </c>
      <c r="ER130" s="476">
        <v>0.8</v>
      </c>
      <c r="ES130" s="477">
        <f>(EM130*EN130*EO130*EP130*EQ130)*(1-ER130)</f>
        <v>0</v>
      </c>
      <c r="ET130" s="478">
        <f>ES130*(44/12)</f>
        <v>0</v>
      </c>
    </row>
    <row r="131" spans="24:150" s="30" customFormat="1" ht="16.5" customHeight="1" thickBot="1">
      <c r="X131" s="67"/>
      <c r="AB131" s="68"/>
      <c r="AD131" s="71"/>
      <c r="AE131" s="71"/>
      <c r="AG131" s="77"/>
      <c r="AH131" s="73"/>
      <c r="AJ131" s="74"/>
      <c r="AL131" s="78"/>
      <c r="AM131" s="78"/>
      <c r="AO131" s="77"/>
      <c r="AR131" s="74"/>
      <c r="AW131" s="77"/>
      <c r="AZ131" s="74"/>
      <c r="BB131" s="71"/>
      <c r="BD131" s="77"/>
      <c r="BG131" s="74"/>
      <c r="BI131" s="71"/>
      <c r="BK131" s="77"/>
      <c r="BN131" s="74"/>
      <c r="BP131" s="71"/>
      <c r="BQ131" s="71"/>
      <c r="BR131" s="80"/>
      <c r="BS131" s="77"/>
      <c r="BV131" s="74"/>
      <c r="BX131" s="71"/>
      <c r="BY131" s="80"/>
      <c r="BZ131" s="77"/>
      <c r="CC131" s="88"/>
      <c r="CD131" s="92" t="s">
        <v>298</v>
      </c>
      <c r="CE131" s="94" t="s">
        <v>261</v>
      </c>
      <c r="CF131" s="94">
        <f>(70000*40.2*0.7)/(1000000)</f>
        <v>1.9697999999999998</v>
      </c>
      <c r="CG131" s="90" t="s">
        <v>262</v>
      </c>
      <c r="CH131" s="97">
        <v>0.05</v>
      </c>
      <c r="CI131" s="97">
        <v>0.05</v>
      </c>
      <c r="CJ131" s="97" t="s">
        <v>209</v>
      </c>
      <c r="CK131" s="94">
        <f>0.0237/3.785</f>
        <v>6.2615587846763538E-3</v>
      </c>
      <c r="CL131" s="102">
        <f t="shared" ref="CL131:CL132" si="269">CK131/1000</f>
        <v>6.261558784676354E-6</v>
      </c>
      <c r="CM131" s="90" t="s">
        <v>263</v>
      </c>
      <c r="CN131" s="98">
        <v>0.33333333333333298</v>
      </c>
      <c r="CO131" s="98">
        <v>3.3333333333333299</v>
      </c>
      <c r="CP131" s="90" t="s">
        <v>209</v>
      </c>
      <c r="CQ131" s="94">
        <f>0.0047/3.785</f>
        <v>1.2417437252311757E-3</v>
      </c>
      <c r="CR131" s="102">
        <f t="shared" ref="CR131:CR132" si="270">CQ131/1000</f>
        <v>1.2417437252311756E-6</v>
      </c>
      <c r="CS131" s="90" t="s">
        <v>264</v>
      </c>
      <c r="CT131" s="98">
        <v>0.33333333333333298</v>
      </c>
      <c r="CU131" s="98">
        <v>3.3333333333333299</v>
      </c>
      <c r="CV131" s="90" t="s">
        <v>209</v>
      </c>
      <c r="CW131" s="94">
        <f t="shared" si="264"/>
        <v>9.7754293262879779E-3</v>
      </c>
      <c r="CX131" s="102">
        <f t="shared" ref="CX131:CX132" si="271">CW131/1000</f>
        <v>9.775429326287978E-6</v>
      </c>
      <c r="CY131" s="90" t="s">
        <v>263</v>
      </c>
      <c r="CZ131" s="98">
        <v>0.33333333333333298</v>
      </c>
      <c r="DA131" s="98">
        <v>3.3333333333333299</v>
      </c>
      <c r="DB131" s="90" t="s">
        <v>209</v>
      </c>
      <c r="DC131" s="94">
        <f>0.0047/3.785</f>
        <v>1.2417437252311757E-3</v>
      </c>
      <c r="DD131" s="102">
        <f t="shared" ref="DD131:DD132" si="272">DC131/1000</f>
        <v>1.2417437252311756E-6</v>
      </c>
      <c r="DE131" s="90" t="s">
        <v>264</v>
      </c>
      <c r="DF131" s="98">
        <v>0.33333333333333298</v>
      </c>
      <c r="DG131" s="98">
        <v>3.3333333333333299</v>
      </c>
      <c r="DH131" s="90" t="s">
        <v>209</v>
      </c>
      <c r="DI131" s="104"/>
      <c r="DJ131" s="43">
        <f t="shared" ref="DJ131" si="273">CH131</f>
        <v>0.05</v>
      </c>
      <c r="DK131" s="43">
        <f t="shared" ref="DK131" si="274">CI131</f>
        <v>0.05</v>
      </c>
      <c r="DP131" s="685"/>
      <c r="DQ131" s="737"/>
      <c r="DR131" s="389" t="s">
        <v>251</v>
      </c>
      <c r="DS131" s="425">
        <v>94.17</v>
      </c>
      <c r="DT131" s="425">
        <v>94.17</v>
      </c>
      <c r="DU131" s="425">
        <v>94.17</v>
      </c>
      <c r="DV131" s="672"/>
      <c r="DW131" s="672"/>
      <c r="DX131" s="673"/>
      <c r="DZ131" s="399" t="s">
        <v>299</v>
      </c>
      <c r="EA131" s="424">
        <v>0</v>
      </c>
      <c r="EB131" s="390">
        <v>0.49</v>
      </c>
      <c r="EC131" s="390">
        <v>10.879999999999999</v>
      </c>
      <c r="ED131" s="407">
        <v>0.45100000000000001</v>
      </c>
      <c r="EG131" s="441" t="str">
        <f>CONCATENATE(D86,E86)</f>
        <v/>
      </c>
      <c r="EK131" s="531" t="s">
        <v>300</v>
      </c>
      <c r="EL131" s="479" t="s">
        <v>178</v>
      </c>
      <c r="EM131" s="480"/>
      <c r="EN131" s="582">
        <v>52</v>
      </c>
      <c r="EO131" s="481">
        <v>1</v>
      </c>
      <c r="EP131" s="481">
        <v>1</v>
      </c>
      <c r="EQ131" s="481">
        <v>1</v>
      </c>
      <c r="ER131" s="482">
        <v>0.8</v>
      </c>
      <c r="ES131" s="483">
        <f t="shared" ref="ES131:ES171" si="275">(EM131*EN131*EO131*EP131*EQ131)*(1-ER131)</f>
        <v>0</v>
      </c>
      <c r="ET131" s="484">
        <f t="shared" ref="ET131:ET136" si="276">ES131*(44/12)</f>
        <v>0</v>
      </c>
    </row>
    <row r="132" spans="24:150" s="30" customFormat="1" ht="16.5" customHeight="1" thickBot="1">
      <c r="X132" s="67"/>
      <c r="AB132" s="68"/>
      <c r="AD132" s="71"/>
      <c r="AE132" s="71"/>
      <c r="AG132" s="77"/>
      <c r="AH132" s="73"/>
      <c r="AJ132" s="74"/>
      <c r="AL132" s="78"/>
      <c r="AM132" s="78"/>
      <c r="AO132" s="77"/>
      <c r="AR132" s="74"/>
      <c r="AW132" s="77"/>
      <c r="AZ132" s="74"/>
      <c r="BB132" s="71"/>
      <c r="BD132" s="77"/>
      <c r="BG132" s="74"/>
      <c r="BI132" s="71"/>
      <c r="BK132" s="77"/>
      <c r="BN132" s="74"/>
      <c r="BP132" s="71"/>
      <c r="BQ132" s="71"/>
      <c r="BR132" s="80"/>
      <c r="BS132" s="77"/>
      <c r="BV132" s="74"/>
      <c r="BX132" s="71"/>
      <c r="BY132" s="80"/>
      <c r="BZ132" s="77"/>
      <c r="CC132" s="88"/>
      <c r="CD132" s="92" t="s">
        <v>301</v>
      </c>
      <c r="CE132" s="94" t="s">
        <v>261</v>
      </c>
      <c r="CF132" s="94">
        <f>(70000*44.3*0.8)/(1000000)</f>
        <v>2.4807999999999999</v>
      </c>
      <c r="CG132" s="90" t="s">
        <v>262</v>
      </c>
      <c r="CH132" s="97">
        <v>0.05</v>
      </c>
      <c r="CI132" s="97">
        <v>0.05</v>
      </c>
      <c r="CJ132" s="97" t="s">
        <v>209</v>
      </c>
      <c r="CK132" s="94">
        <f>0.0233/3.785</f>
        <v>6.1558784676354027E-3</v>
      </c>
      <c r="CL132" s="102">
        <f t="shared" si="269"/>
        <v>6.1558784676354023E-6</v>
      </c>
      <c r="CM132" s="90" t="s">
        <v>263</v>
      </c>
      <c r="CN132" s="98">
        <v>0.33333333333333298</v>
      </c>
      <c r="CO132" s="98">
        <v>3.3333333333333299</v>
      </c>
      <c r="CP132" s="90" t="s">
        <v>209</v>
      </c>
      <c r="CQ132" s="94">
        <f>0.0047/3.785</f>
        <v>1.2417437252311757E-3</v>
      </c>
      <c r="CR132" s="102">
        <f t="shared" si="270"/>
        <v>1.2417437252311756E-6</v>
      </c>
      <c r="CS132" s="90" t="s">
        <v>264</v>
      </c>
      <c r="CT132" s="98">
        <v>0.33333333333333298</v>
      </c>
      <c r="CU132" s="98">
        <v>3.3333333333333299</v>
      </c>
      <c r="CV132" s="90" t="s">
        <v>209</v>
      </c>
      <c r="CW132" s="94">
        <f t="shared" si="264"/>
        <v>9.7754293262879779E-3</v>
      </c>
      <c r="CX132" s="102">
        <f t="shared" si="271"/>
        <v>9.775429326287978E-6</v>
      </c>
      <c r="CY132" s="90" t="s">
        <v>263</v>
      </c>
      <c r="CZ132" s="98">
        <v>0.33333333333333298</v>
      </c>
      <c r="DA132" s="98">
        <v>3.3333333333333299</v>
      </c>
      <c r="DB132" s="90" t="s">
        <v>209</v>
      </c>
      <c r="DC132" s="94">
        <f>0.0047/3.785</f>
        <v>1.2417437252311757E-3</v>
      </c>
      <c r="DD132" s="102">
        <f t="shared" si="272"/>
        <v>1.2417437252311756E-6</v>
      </c>
      <c r="DE132" s="90" t="s">
        <v>264</v>
      </c>
      <c r="DF132" s="98">
        <v>0.33333333333333298</v>
      </c>
      <c r="DG132" s="98">
        <v>3.3333333333333299</v>
      </c>
      <c r="DH132" s="90" t="s">
        <v>209</v>
      </c>
      <c r="DI132" s="104"/>
      <c r="DJ132" s="43">
        <f t="shared" si="258"/>
        <v>0.05</v>
      </c>
      <c r="DK132" s="43">
        <f t="shared" si="259"/>
        <v>0.05</v>
      </c>
      <c r="DP132" s="685"/>
      <c r="DQ132" s="737"/>
      <c r="DR132" s="389" t="s">
        <v>190</v>
      </c>
      <c r="DS132" s="425">
        <v>75.67</v>
      </c>
      <c r="DT132" s="425">
        <v>75.67</v>
      </c>
      <c r="DU132" s="425">
        <v>75.67</v>
      </c>
      <c r="DV132" s="672"/>
      <c r="DW132" s="672"/>
      <c r="DX132" s="673"/>
      <c r="DZ132" s="399" t="s">
        <v>302</v>
      </c>
      <c r="EA132" s="424">
        <v>0</v>
      </c>
      <c r="EB132" s="390">
        <v>0.49</v>
      </c>
      <c r="EC132" s="390">
        <v>10.879999999999999</v>
      </c>
      <c r="ED132" s="407">
        <v>0.45100000000000001</v>
      </c>
      <c r="EG132" s="441" t="str">
        <f>CONCATENATE(D87,E87)</f>
        <v/>
      </c>
      <c r="EK132" s="531" t="s">
        <v>303</v>
      </c>
      <c r="EL132" s="485" t="s">
        <v>174</v>
      </c>
      <c r="EM132" s="486"/>
      <c r="EN132" s="583">
        <v>44</v>
      </c>
      <c r="EO132" s="487">
        <v>1</v>
      </c>
      <c r="EP132" s="487">
        <v>1</v>
      </c>
      <c r="EQ132" s="487">
        <v>1</v>
      </c>
      <c r="ER132" s="488">
        <v>0.8</v>
      </c>
      <c r="ES132" s="489">
        <f t="shared" si="275"/>
        <v>0</v>
      </c>
      <c r="ET132" s="490">
        <f t="shared" si="276"/>
        <v>0</v>
      </c>
    </row>
    <row r="133" spans="24:150" s="30" customFormat="1" ht="16.149999999999999" thickBot="1">
      <c r="X133" s="67"/>
      <c r="AB133" s="68"/>
      <c r="AD133" s="71"/>
      <c r="AE133" s="71"/>
      <c r="AG133" s="71"/>
      <c r="AH133" s="73"/>
      <c r="AJ133" s="74"/>
      <c r="AL133" s="78"/>
      <c r="AM133" s="78"/>
      <c r="AO133" s="71"/>
      <c r="AR133" s="74"/>
      <c r="AW133" s="71"/>
      <c r="AZ133" s="74"/>
      <c r="BB133" s="71"/>
      <c r="BD133" s="71"/>
      <c r="BG133" s="74"/>
      <c r="BI133" s="71"/>
      <c r="BK133" s="71"/>
      <c r="BN133" s="74"/>
      <c r="BP133" s="71"/>
      <c r="BQ133" s="71"/>
      <c r="BS133" s="71"/>
      <c r="BV133" s="74"/>
      <c r="BX133" s="71"/>
      <c r="BZ133" s="71"/>
      <c r="CC133" s="38"/>
      <c r="CD133" s="29"/>
      <c r="CE133" s="39"/>
      <c r="CF133" s="39"/>
      <c r="CG133" s="39"/>
      <c r="CH133" s="40"/>
      <c r="CI133" s="40"/>
      <c r="CJ133" s="40"/>
      <c r="CK133" s="103"/>
      <c r="CL133" s="103"/>
      <c r="CM133" s="103"/>
      <c r="CN133" s="103"/>
      <c r="CO133" s="103"/>
      <c r="CP133" s="103"/>
      <c r="CQ133" s="39"/>
      <c r="CR133" s="103"/>
      <c r="CS133" s="103"/>
      <c r="CT133" s="39"/>
      <c r="CU133" s="39"/>
      <c r="CV133" s="39"/>
      <c r="CW133" s="41"/>
      <c r="CX133" s="103"/>
      <c r="CY133" s="103"/>
      <c r="CZ133" s="41"/>
      <c r="DA133" s="41"/>
      <c r="DB133" s="41"/>
      <c r="DC133" s="41"/>
      <c r="DD133" s="103"/>
      <c r="DE133" s="103"/>
      <c r="DF133" s="41"/>
      <c r="DG133" s="41"/>
      <c r="DH133" s="41"/>
      <c r="DI133" s="42"/>
      <c r="DJ133" s="43">
        <f t="shared" si="258"/>
        <v>0</v>
      </c>
      <c r="DK133" s="43">
        <f t="shared" si="259"/>
        <v>0</v>
      </c>
      <c r="DP133" s="685"/>
      <c r="DQ133" s="737"/>
      <c r="DR133" s="389" t="s">
        <v>226</v>
      </c>
      <c r="DS133" s="425">
        <v>150</v>
      </c>
      <c r="DT133" s="425">
        <v>240</v>
      </c>
      <c r="DU133" s="425">
        <v>120</v>
      </c>
      <c r="DV133" s="371" t="s">
        <v>304</v>
      </c>
      <c r="DW133" s="372"/>
      <c r="DX133" s="373"/>
      <c r="DZ133" s="399" t="s">
        <v>305</v>
      </c>
      <c r="EA133" s="424">
        <v>0</v>
      </c>
      <c r="EB133" s="577">
        <v>0.20499999999999999</v>
      </c>
      <c r="EC133" s="632">
        <v>18.77551020408163</v>
      </c>
      <c r="ED133" s="407">
        <v>0.49</v>
      </c>
      <c r="EG133" s="442" t="str">
        <f>CONCATENATE(D88,E88)</f>
        <v/>
      </c>
      <c r="EK133" s="532" t="s">
        <v>306</v>
      </c>
      <c r="EL133" s="491" t="s">
        <v>191</v>
      </c>
      <c r="EM133" s="492"/>
      <c r="EN133" s="584">
        <v>38</v>
      </c>
      <c r="EO133" s="493">
        <v>1</v>
      </c>
      <c r="EP133" s="493">
        <v>1</v>
      </c>
      <c r="EQ133" s="493">
        <v>1</v>
      </c>
      <c r="ER133" s="494">
        <v>0.8</v>
      </c>
      <c r="ES133" s="495">
        <f t="shared" si="275"/>
        <v>0</v>
      </c>
      <c r="ET133" s="496">
        <f t="shared" si="276"/>
        <v>0</v>
      </c>
    </row>
    <row r="134" spans="24:150" s="30" customFormat="1" ht="16.149999999999999" thickBot="1">
      <c r="X134" s="67"/>
      <c r="AB134" s="68"/>
      <c r="AD134" s="71"/>
      <c r="AE134" s="71"/>
      <c r="AG134" s="71"/>
      <c r="AH134" s="73"/>
      <c r="AJ134" s="74"/>
      <c r="AL134" s="78"/>
      <c r="AM134" s="78"/>
      <c r="AO134" s="71"/>
      <c r="AR134" s="74"/>
      <c r="AW134" s="71"/>
      <c r="AZ134" s="74"/>
      <c r="BB134" s="71"/>
      <c r="BD134" s="71"/>
      <c r="BG134" s="74"/>
      <c r="BI134" s="71"/>
      <c r="BK134" s="71"/>
      <c r="BN134" s="74"/>
      <c r="BP134" s="71"/>
      <c r="BQ134" s="71"/>
      <c r="BS134" s="71"/>
      <c r="BV134" s="74"/>
      <c r="BX134" s="71"/>
      <c r="BZ134" s="71"/>
      <c r="CC134" s="38"/>
      <c r="CD134" s="29"/>
      <c r="CE134" s="39"/>
      <c r="CF134" s="39"/>
      <c r="CG134" s="39"/>
      <c r="CH134" s="40"/>
      <c r="CI134" s="40"/>
      <c r="CJ134" s="40"/>
      <c r="CK134" s="103"/>
      <c r="CL134" s="103"/>
      <c r="CM134" s="103"/>
      <c r="CN134" s="103"/>
      <c r="CO134" s="103"/>
      <c r="CP134" s="103"/>
      <c r="CQ134" s="39"/>
      <c r="CR134" s="103"/>
      <c r="CS134" s="103"/>
      <c r="CT134" s="39"/>
      <c r="CU134" s="39"/>
      <c r="CV134" s="39"/>
      <c r="CW134" s="41"/>
      <c r="CX134" s="103"/>
      <c r="CY134" s="103"/>
      <c r="CZ134" s="41"/>
      <c r="DA134" s="41"/>
      <c r="DB134" s="41"/>
      <c r="DC134" s="41"/>
      <c r="DD134" s="103"/>
      <c r="DE134" s="103"/>
      <c r="DF134" s="41"/>
      <c r="DG134" s="41"/>
      <c r="DH134" s="41"/>
      <c r="DI134" s="42"/>
      <c r="DJ134" s="43">
        <f t="shared" si="258"/>
        <v>0</v>
      </c>
      <c r="DK134" s="43">
        <f t="shared" si="259"/>
        <v>0</v>
      </c>
      <c r="DP134" s="685"/>
      <c r="DQ134" s="737"/>
      <c r="DR134" s="389" t="s">
        <v>231</v>
      </c>
      <c r="DS134" s="425">
        <v>300</v>
      </c>
      <c r="DT134" s="425">
        <v>270</v>
      </c>
      <c r="DU134" s="425">
        <v>270</v>
      </c>
      <c r="DV134" s="371" t="s">
        <v>304</v>
      </c>
      <c r="DW134" s="372"/>
      <c r="DX134" s="373"/>
      <c r="DZ134" s="399" t="s">
        <v>307</v>
      </c>
      <c r="EA134" s="424">
        <v>0</v>
      </c>
      <c r="EB134" s="390">
        <v>0.17</v>
      </c>
      <c r="EC134" s="633">
        <v>40.000000000000007</v>
      </c>
      <c r="ED134" s="407">
        <v>0.49</v>
      </c>
      <c r="EK134" s="532" t="s">
        <v>308</v>
      </c>
      <c r="EL134" s="479" t="s">
        <v>178</v>
      </c>
      <c r="EM134" s="480"/>
      <c r="EN134" s="585">
        <v>52</v>
      </c>
      <c r="EO134" s="481">
        <v>1</v>
      </c>
      <c r="EP134" s="481">
        <v>1</v>
      </c>
      <c r="EQ134" s="481">
        <v>1</v>
      </c>
      <c r="ER134" s="482">
        <v>0.8</v>
      </c>
      <c r="ES134" s="483">
        <f t="shared" si="275"/>
        <v>0</v>
      </c>
      <c r="ET134" s="484">
        <f t="shared" si="276"/>
        <v>0</v>
      </c>
    </row>
    <row r="135" spans="24:150" s="30" customFormat="1" ht="26.25" customHeight="1" thickBot="1">
      <c r="X135" s="67"/>
      <c r="AB135" s="68"/>
      <c r="AD135" s="71"/>
      <c r="AE135" s="71"/>
      <c r="AG135" s="71"/>
      <c r="AH135" s="73"/>
      <c r="AJ135" s="74"/>
      <c r="AL135" s="78"/>
      <c r="AM135" s="78"/>
      <c r="AO135" s="71"/>
      <c r="AR135" s="74"/>
      <c r="AW135" s="71"/>
      <c r="AZ135" s="74"/>
      <c r="BB135" s="71"/>
      <c r="BD135" s="71"/>
      <c r="BG135" s="74"/>
      <c r="BI135" s="71"/>
      <c r="BK135" s="71"/>
      <c r="BN135" s="74"/>
      <c r="BP135" s="71"/>
      <c r="BQ135" s="71"/>
      <c r="BS135" s="71"/>
      <c r="BV135" s="74"/>
      <c r="BX135" s="71"/>
      <c r="BZ135" s="71"/>
      <c r="CC135" s="38"/>
      <c r="CD135" s="710" t="s">
        <v>249</v>
      </c>
      <c r="CE135" s="85"/>
      <c r="CF135" s="710" t="s">
        <v>309</v>
      </c>
      <c r="CG135" s="85"/>
      <c r="CH135" s="710" t="s">
        <v>181</v>
      </c>
      <c r="CI135" s="710" t="s">
        <v>181</v>
      </c>
      <c r="CJ135" s="710" t="s">
        <v>182</v>
      </c>
      <c r="CK135" s="707" t="s">
        <v>183</v>
      </c>
      <c r="CL135" s="708"/>
      <c r="CM135" s="708"/>
      <c r="CN135" s="708"/>
      <c r="CO135" s="708"/>
      <c r="CP135" s="708"/>
      <c r="CQ135" s="708"/>
      <c r="CR135" s="708"/>
      <c r="CS135" s="708"/>
      <c r="CT135" s="708"/>
      <c r="CU135" s="708"/>
      <c r="CV135" s="709"/>
      <c r="CW135" s="707" t="s">
        <v>184</v>
      </c>
      <c r="CX135" s="708"/>
      <c r="CY135" s="708"/>
      <c r="CZ135" s="708"/>
      <c r="DA135" s="708"/>
      <c r="DB135" s="708"/>
      <c r="DC135" s="708"/>
      <c r="DD135" s="708"/>
      <c r="DE135" s="708"/>
      <c r="DF135" s="708"/>
      <c r="DG135" s="708"/>
      <c r="DH135" s="709"/>
      <c r="DI135" s="84" t="s">
        <v>185</v>
      </c>
      <c r="DJ135" s="43" t="str">
        <f t="shared" si="258"/>
        <v>Incertidumbre (+/- %)</v>
      </c>
      <c r="DK135" s="43" t="str">
        <f t="shared" si="259"/>
        <v>Incertidumbre (+/- %)</v>
      </c>
      <c r="DP135" s="685"/>
      <c r="DQ135" s="737"/>
      <c r="DR135" s="389" t="s">
        <v>219</v>
      </c>
      <c r="DS135" s="426">
        <v>28.72</v>
      </c>
      <c r="DT135" s="426">
        <v>28.72</v>
      </c>
      <c r="DU135" s="426">
        <v>28.72</v>
      </c>
      <c r="DV135" s="672" t="s">
        <v>295</v>
      </c>
      <c r="DW135" s="672"/>
      <c r="DX135" s="673"/>
      <c r="DZ135" s="399" t="s">
        <v>310</v>
      </c>
      <c r="EA135" s="424">
        <v>0</v>
      </c>
      <c r="EB135" s="390">
        <v>0.17</v>
      </c>
      <c r="EC135" s="632">
        <v>28.367346938775512</v>
      </c>
      <c r="ED135" s="407">
        <v>0.49</v>
      </c>
      <c r="EK135" s="532" t="s">
        <v>311</v>
      </c>
      <c r="EL135" s="485" t="s">
        <v>174</v>
      </c>
      <c r="EM135" s="486"/>
      <c r="EN135" s="586">
        <v>44</v>
      </c>
      <c r="EO135" s="487">
        <v>1</v>
      </c>
      <c r="EP135" s="487">
        <v>1</v>
      </c>
      <c r="EQ135" s="487">
        <v>1</v>
      </c>
      <c r="ER135" s="488">
        <v>0.8</v>
      </c>
      <c r="ES135" s="489">
        <f t="shared" si="275"/>
        <v>0</v>
      </c>
      <c r="ET135" s="490">
        <f t="shared" si="276"/>
        <v>0</v>
      </c>
    </row>
    <row r="136" spans="24:150" s="30" customFormat="1" ht="59.25" customHeight="1" thickBot="1">
      <c r="X136" s="67"/>
      <c r="AB136" s="68"/>
      <c r="AD136" s="71"/>
      <c r="AE136" s="71"/>
      <c r="AG136" s="71"/>
      <c r="AH136" s="73"/>
      <c r="AJ136" s="74"/>
      <c r="AL136" s="78"/>
      <c r="AM136" s="78"/>
      <c r="AO136" s="71"/>
      <c r="AR136" s="74"/>
      <c r="AW136" s="71"/>
      <c r="AZ136" s="74"/>
      <c r="BB136" s="71"/>
      <c r="BD136" s="71"/>
      <c r="BG136" s="74"/>
      <c r="BI136" s="71"/>
      <c r="BK136" s="71"/>
      <c r="BN136" s="74"/>
      <c r="BP136" s="71"/>
      <c r="BQ136" s="71"/>
      <c r="BS136" s="71"/>
      <c r="BV136" s="74"/>
      <c r="BX136" s="71"/>
      <c r="BZ136" s="71"/>
      <c r="CC136" s="38"/>
      <c r="CD136" s="711"/>
      <c r="CE136" s="87" t="s">
        <v>193</v>
      </c>
      <c r="CF136" s="711"/>
      <c r="CG136" s="87" t="s">
        <v>194</v>
      </c>
      <c r="CH136" s="711"/>
      <c r="CI136" s="711"/>
      <c r="CJ136" s="711"/>
      <c r="CK136" s="101" t="s">
        <v>312</v>
      </c>
      <c r="CL136" s="101" t="s">
        <v>313</v>
      </c>
      <c r="CM136" s="87" t="s">
        <v>194</v>
      </c>
      <c r="CN136" s="101" t="s">
        <v>181</v>
      </c>
      <c r="CO136" s="101" t="s">
        <v>181</v>
      </c>
      <c r="CP136" s="101" t="s">
        <v>182</v>
      </c>
      <c r="CQ136" s="101" t="s">
        <v>314</v>
      </c>
      <c r="CR136" s="101" t="s">
        <v>315</v>
      </c>
      <c r="CS136" s="87" t="s">
        <v>194</v>
      </c>
      <c r="CT136" s="101" t="s">
        <v>181</v>
      </c>
      <c r="CU136" s="101" t="s">
        <v>181</v>
      </c>
      <c r="CV136" s="101" t="s">
        <v>182</v>
      </c>
      <c r="CW136" s="101" t="s">
        <v>312</v>
      </c>
      <c r="CX136" s="101" t="s">
        <v>313</v>
      </c>
      <c r="CY136" s="87" t="s">
        <v>194</v>
      </c>
      <c r="CZ136" s="101" t="s">
        <v>181</v>
      </c>
      <c r="DA136" s="101" t="s">
        <v>181</v>
      </c>
      <c r="DB136" s="101" t="s">
        <v>182</v>
      </c>
      <c r="DC136" s="101" t="s">
        <v>314</v>
      </c>
      <c r="DD136" s="101" t="s">
        <v>315</v>
      </c>
      <c r="DE136" s="87" t="s">
        <v>194</v>
      </c>
      <c r="DF136" s="101" t="s">
        <v>181</v>
      </c>
      <c r="DG136" s="101" t="s">
        <v>181</v>
      </c>
      <c r="DH136" s="101" t="s">
        <v>182</v>
      </c>
      <c r="DI136" s="84" t="s">
        <v>309</v>
      </c>
      <c r="DJ136" s="43">
        <f t="shared" si="258"/>
        <v>0</v>
      </c>
      <c r="DK136" s="43">
        <f t="shared" si="259"/>
        <v>0</v>
      </c>
      <c r="DP136" s="685" t="s">
        <v>316</v>
      </c>
      <c r="DQ136" s="721" t="s">
        <v>317</v>
      </c>
      <c r="DR136" s="389" t="s">
        <v>173</v>
      </c>
      <c r="DS136" s="421">
        <v>20.9</v>
      </c>
      <c r="DT136" s="421">
        <v>20.9</v>
      </c>
      <c r="DU136" s="421">
        <v>20.9</v>
      </c>
      <c r="DV136" s="649" t="s">
        <v>318</v>
      </c>
      <c r="DW136" s="650"/>
      <c r="DX136" s="651"/>
      <c r="DZ136" s="399" t="s">
        <v>319</v>
      </c>
      <c r="EA136" s="424">
        <v>0</v>
      </c>
      <c r="EB136" s="577">
        <v>0.20499999999999999</v>
      </c>
      <c r="EC136" s="634">
        <v>36.938775510204088</v>
      </c>
      <c r="ED136" s="407">
        <v>0.49</v>
      </c>
      <c r="EK136" s="532" t="s">
        <v>302</v>
      </c>
      <c r="EL136" s="491" t="s">
        <v>191</v>
      </c>
      <c r="EM136" s="492"/>
      <c r="EN136" s="642">
        <v>224.43</v>
      </c>
      <c r="EO136" s="493">
        <v>1</v>
      </c>
      <c r="EP136" s="493">
        <v>1</v>
      </c>
      <c r="EQ136" s="493">
        <v>1</v>
      </c>
      <c r="ER136" s="494">
        <v>0.8</v>
      </c>
      <c r="ES136" s="495">
        <f t="shared" si="275"/>
        <v>0</v>
      </c>
      <c r="ET136" s="496">
        <f t="shared" si="276"/>
        <v>0</v>
      </c>
    </row>
    <row r="137" spans="24:150" s="30" customFormat="1" ht="16.149999999999999" thickBot="1">
      <c r="X137" s="67"/>
      <c r="AB137" s="68"/>
      <c r="AD137" s="71"/>
      <c r="AE137" s="71"/>
      <c r="AG137" s="71"/>
      <c r="AH137" s="73"/>
      <c r="AJ137" s="74"/>
      <c r="AL137" s="78"/>
      <c r="AM137" s="78"/>
      <c r="AO137" s="71"/>
      <c r="AR137" s="74"/>
      <c r="AW137" s="71"/>
      <c r="AZ137" s="74"/>
      <c r="BB137" s="71"/>
      <c r="BD137" s="71"/>
      <c r="BG137" s="74"/>
      <c r="BI137" s="71"/>
      <c r="BK137" s="71"/>
      <c r="BN137" s="74"/>
      <c r="BP137" s="71"/>
      <c r="BQ137" s="71"/>
      <c r="BS137" s="71"/>
      <c r="BV137" s="74"/>
      <c r="BX137" s="71"/>
      <c r="BZ137" s="71"/>
      <c r="CA137" s="80"/>
      <c r="CC137" s="88"/>
      <c r="CD137" s="89" t="s">
        <v>320</v>
      </c>
      <c r="CE137" s="90" t="s">
        <v>321</v>
      </c>
      <c r="CF137" s="95">
        <v>0</v>
      </c>
      <c r="CG137" s="90" t="s">
        <v>322</v>
      </c>
      <c r="CH137" s="97">
        <v>0.05</v>
      </c>
      <c r="CI137" s="97">
        <v>0.05</v>
      </c>
      <c r="CJ137" s="97" t="s">
        <v>209</v>
      </c>
      <c r="CK137" s="104">
        <v>2.1999999999999999E-2</v>
      </c>
      <c r="CL137" s="104">
        <f>CK137/1000</f>
        <v>2.1999999999999999E-5</v>
      </c>
      <c r="CM137" s="90" t="s">
        <v>323</v>
      </c>
      <c r="CN137" s="98">
        <v>0.3</v>
      </c>
      <c r="CO137" s="98">
        <v>3</v>
      </c>
      <c r="CP137" s="90" t="s">
        <v>209</v>
      </c>
      <c r="CQ137" s="104">
        <v>2.2000000000000001E-3</v>
      </c>
      <c r="CR137" s="104">
        <f>CQ137/1000</f>
        <v>2.2000000000000001E-6</v>
      </c>
      <c r="CS137" s="90" t="s">
        <v>324</v>
      </c>
      <c r="CT137" s="98">
        <v>0.3</v>
      </c>
      <c r="CU137" s="98">
        <v>3</v>
      </c>
      <c r="CV137" s="90" t="s">
        <v>209</v>
      </c>
      <c r="CW137" s="94">
        <v>0</v>
      </c>
      <c r="CX137" s="104">
        <f>CW137/1000</f>
        <v>0</v>
      </c>
      <c r="CY137" s="90" t="s">
        <v>323</v>
      </c>
      <c r="CZ137" s="98">
        <v>0</v>
      </c>
      <c r="DA137" s="98">
        <v>0</v>
      </c>
      <c r="DB137" s="90" t="s">
        <v>209</v>
      </c>
      <c r="DC137" s="94">
        <v>0</v>
      </c>
      <c r="DD137" s="104">
        <f>DC137/1000</f>
        <v>0</v>
      </c>
      <c r="DE137" s="90" t="s">
        <v>324</v>
      </c>
      <c r="DF137" s="98">
        <v>0</v>
      </c>
      <c r="DG137" s="98">
        <v>0</v>
      </c>
      <c r="DH137" s="90" t="s">
        <v>209</v>
      </c>
      <c r="DI137" s="90">
        <f>(54600*50.4*0.74)/(1000000)</f>
        <v>2.0363615999999998</v>
      </c>
      <c r="DJ137" s="43">
        <f t="shared" si="258"/>
        <v>0.05</v>
      </c>
      <c r="DK137" s="43">
        <f t="shared" si="259"/>
        <v>0.05</v>
      </c>
      <c r="DP137" s="685"/>
      <c r="DQ137" s="721"/>
      <c r="DR137" s="389" t="s">
        <v>325</v>
      </c>
      <c r="DS137" s="419">
        <v>15.18</v>
      </c>
      <c r="DT137" s="419">
        <v>15.18</v>
      </c>
      <c r="DU137" s="419">
        <v>15.18</v>
      </c>
      <c r="DV137" s="652"/>
      <c r="DW137" s="653"/>
      <c r="DX137" s="654"/>
      <c r="DZ137" s="399" t="s">
        <v>326</v>
      </c>
      <c r="EA137" s="424">
        <v>0</v>
      </c>
      <c r="EB137" s="390">
        <v>0.17</v>
      </c>
      <c r="EC137" s="635">
        <v>13.469387755102041</v>
      </c>
      <c r="ED137" s="407">
        <v>0.49</v>
      </c>
      <c r="EK137" s="532" t="s">
        <v>299</v>
      </c>
      <c r="EL137" s="479" t="s">
        <v>178</v>
      </c>
      <c r="EM137" s="480"/>
      <c r="EN137" s="641">
        <v>224.43</v>
      </c>
      <c r="EO137" s="481">
        <v>1</v>
      </c>
      <c r="EP137" s="481">
        <v>1</v>
      </c>
      <c r="EQ137" s="481">
        <v>1</v>
      </c>
      <c r="ER137" s="482">
        <v>0.8</v>
      </c>
      <c r="ES137" s="483">
        <f t="shared" si="275"/>
        <v>0</v>
      </c>
      <c r="ET137" s="484">
        <f>ES137*(44/12)</f>
        <v>0</v>
      </c>
    </row>
    <row r="138" spans="24:150" s="30" customFormat="1" ht="16.149999999999999" thickBot="1">
      <c r="X138" s="67"/>
      <c r="AB138" s="68"/>
      <c r="AD138" s="71"/>
      <c r="AE138" s="71"/>
      <c r="AG138" s="71"/>
      <c r="AH138" s="73"/>
      <c r="AJ138" s="74"/>
      <c r="AL138" s="78"/>
      <c r="AM138" s="78"/>
      <c r="AO138" s="71"/>
      <c r="AR138" s="74"/>
      <c r="AW138" s="71"/>
      <c r="AZ138" s="74"/>
      <c r="BB138" s="71"/>
      <c r="BD138" s="71"/>
      <c r="BG138" s="74"/>
      <c r="BI138" s="71"/>
      <c r="BK138" s="71"/>
      <c r="BN138" s="74"/>
      <c r="BP138" s="71"/>
      <c r="BQ138" s="71"/>
      <c r="BS138" s="71"/>
      <c r="BV138" s="74"/>
      <c r="BX138" s="71"/>
      <c r="BZ138" s="71"/>
      <c r="CA138" s="80"/>
      <c r="CB138" s="82"/>
      <c r="CC138" s="88"/>
      <c r="CD138" s="92" t="s">
        <v>327</v>
      </c>
      <c r="CE138" s="90" t="s">
        <v>321</v>
      </c>
      <c r="CF138" s="96">
        <f>(56100*48*0.74)/(1000000)</f>
        <v>1.992672</v>
      </c>
      <c r="CG138" s="90" t="s">
        <v>322</v>
      </c>
      <c r="CH138" s="97">
        <v>0.05</v>
      </c>
      <c r="CI138" s="97">
        <v>0.05</v>
      </c>
      <c r="CJ138" s="97" t="s">
        <v>209</v>
      </c>
      <c r="CK138" s="104">
        <v>3.5700000000000003E-2</v>
      </c>
      <c r="CL138" s="104">
        <f>CK138/1000</f>
        <v>3.57E-5</v>
      </c>
      <c r="CM138" s="90" t="s">
        <v>323</v>
      </c>
      <c r="CN138" s="98">
        <v>0.3</v>
      </c>
      <c r="CO138" s="98">
        <v>3</v>
      </c>
      <c r="CP138" s="90" t="s">
        <v>209</v>
      </c>
      <c r="CQ138" s="104">
        <v>3.5999999999999999E-3</v>
      </c>
      <c r="CR138" s="104">
        <f>CQ138/1000</f>
        <v>3.5999999999999998E-6</v>
      </c>
      <c r="CS138" s="90" t="s">
        <v>324</v>
      </c>
      <c r="CT138" s="98">
        <v>0.3</v>
      </c>
      <c r="CU138" s="98">
        <v>3</v>
      </c>
      <c r="CV138" s="90" t="s">
        <v>209</v>
      </c>
      <c r="CW138" s="94">
        <v>3.28</v>
      </c>
      <c r="CX138" s="104">
        <f>CW138/1000</f>
        <v>3.2799999999999999E-3</v>
      </c>
      <c r="CY138" s="90" t="s">
        <v>323</v>
      </c>
      <c r="CZ138" s="98">
        <v>0.54347826086956497</v>
      </c>
      <c r="DA138" s="98">
        <v>16.739130434782599</v>
      </c>
      <c r="DB138" s="90" t="s">
        <v>209</v>
      </c>
      <c r="DC138" s="94">
        <v>0.107</v>
      </c>
      <c r="DD138" s="104">
        <f>DC138/1000</f>
        <v>1.07E-4</v>
      </c>
      <c r="DE138" s="90" t="s">
        <v>324</v>
      </c>
      <c r="DF138" s="98">
        <v>0.33333333333333298</v>
      </c>
      <c r="DG138" s="98">
        <v>25.6666666666667</v>
      </c>
      <c r="DH138" s="90" t="s">
        <v>209</v>
      </c>
      <c r="DI138" s="104"/>
      <c r="DJ138" s="43">
        <f t="shared" si="258"/>
        <v>0.05</v>
      </c>
      <c r="DK138" s="43">
        <f t="shared" si="259"/>
        <v>0.05</v>
      </c>
      <c r="DP138" s="685"/>
      <c r="DQ138" s="721"/>
      <c r="DR138" s="389" t="s">
        <v>251</v>
      </c>
      <c r="DS138" s="419">
        <v>15.18</v>
      </c>
      <c r="DT138" s="419">
        <v>15.18</v>
      </c>
      <c r="DU138" s="419">
        <v>15.18</v>
      </c>
      <c r="DV138" s="652"/>
      <c r="DW138" s="653"/>
      <c r="DX138" s="654"/>
      <c r="DZ138" s="399" t="s">
        <v>328</v>
      </c>
      <c r="EA138" s="424">
        <v>0</v>
      </c>
      <c r="EB138" s="390">
        <v>0.17</v>
      </c>
      <c r="EC138" s="634">
        <v>37.142857142857139</v>
      </c>
      <c r="ED138" s="407">
        <v>0.49</v>
      </c>
      <c r="EK138" s="532" t="s">
        <v>296</v>
      </c>
      <c r="EL138" s="497" t="s">
        <v>174</v>
      </c>
      <c r="EM138" s="486"/>
      <c r="EN138" s="588"/>
      <c r="EO138" s="498"/>
      <c r="EP138" s="498"/>
      <c r="EQ138" s="498"/>
      <c r="ER138" s="488">
        <v>0.8</v>
      </c>
      <c r="ES138" s="489">
        <f t="shared" si="275"/>
        <v>0</v>
      </c>
      <c r="ET138" s="499"/>
    </row>
    <row r="139" spans="24:150" s="30" customFormat="1" ht="16.149999999999999" thickBot="1">
      <c r="X139" s="67"/>
      <c r="AB139" s="68"/>
      <c r="AD139" s="71"/>
      <c r="AE139" s="71"/>
      <c r="AG139" s="71"/>
      <c r="AH139" s="73"/>
      <c r="AJ139" s="74"/>
      <c r="AL139" s="78"/>
      <c r="AM139" s="78"/>
      <c r="AO139" s="71"/>
      <c r="AR139" s="74"/>
      <c r="AW139" s="71"/>
      <c r="AZ139" s="74"/>
      <c r="BB139" s="71"/>
      <c r="BD139" s="71"/>
      <c r="BG139" s="74"/>
      <c r="BI139" s="71"/>
      <c r="BK139" s="71"/>
      <c r="BN139" s="74"/>
      <c r="BP139" s="71"/>
      <c r="BQ139" s="71"/>
      <c r="BS139" s="71"/>
      <c r="BV139" s="74"/>
      <c r="BX139" s="71"/>
      <c r="BZ139" s="71"/>
      <c r="CA139" s="80"/>
      <c r="CB139" s="82"/>
      <c r="CC139" s="88"/>
      <c r="CD139" s="92" t="s">
        <v>329</v>
      </c>
      <c r="CE139" s="90" t="s">
        <v>330</v>
      </c>
      <c r="CF139" s="96">
        <f>63100*46.4/1000000</f>
        <v>2.9278400000000002</v>
      </c>
      <c r="CG139" s="90" t="s">
        <v>331</v>
      </c>
      <c r="CH139" s="97">
        <v>0.05</v>
      </c>
      <c r="CI139" s="97">
        <v>0.05</v>
      </c>
      <c r="CJ139" s="97" t="s">
        <v>209</v>
      </c>
      <c r="CK139" s="104">
        <v>4.5999999999999999E-2</v>
      </c>
      <c r="CL139" s="104">
        <f>CK139/1000</f>
        <v>4.6E-5</v>
      </c>
      <c r="CM139" s="90" t="s">
        <v>332</v>
      </c>
      <c r="CN139" s="98">
        <v>0.3</v>
      </c>
      <c r="CO139" s="98">
        <v>3</v>
      </c>
      <c r="CP139" s="90" t="s">
        <v>209</v>
      </c>
      <c r="CQ139" s="104">
        <v>5.0000000000000001E-3</v>
      </c>
      <c r="CR139" s="104">
        <f>CQ139/1000</f>
        <v>5.0000000000000004E-6</v>
      </c>
      <c r="CS139" s="90" t="s">
        <v>333</v>
      </c>
      <c r="CT139" s="98">
        <v>0.3</v>
      </c>
      <c r="CU139" s="98">
        <v>3</v>
      </c>
      <c r="CV139" s="90" t="s">
        <v>209</v>
      </c>
      <c r="CW139" s="94">
        <v>4.282</v>
      </c>
      <c r="CX139" s="104">
        <f>CW139/1000</f>
        <v>4.2820000000000002E-3</v>
      </c>
      <c r="CY139" s="90" t="s">
        <v>332</v>
      </c>
      <c r="CZ139" s="98">
        <v>0.54347826086956497</v>
      </c>
      <c r="DA139" s="98">
        <v>16.739130434782599</v>
      </c>
      <c r="DB139" s="90" t="s">
        <v>209</v>
      </c>
      <c r="DC139" s="94">
        <v>0.13600000000000001</v>
      </c>
      <c r="DD139" s="104">
        <f>DC139/1000</f>
        <v>1.36E-4</v>
      </c>
      <c r="DE139" s="90" t="s">
        <v>333</v>
      </c>
      <c r="DF139" s="98">
        <v>0.33333333333333298</v>
      </c>
      <c r="DG139" s="98">
        <v>25.6666666666667</v>
      </c>
      <c r="DH139" s="90" t="s">
        <v>209</v>
      </c>
      <c r="DI139" s="104"/>
      <c r="DJ139" s="43">
        <f t="shared" si="258"/>
        <v>0.05</v>
      </c>
      <c r="DK139" s="43">
        <f t="shared" si="259"/>
        <v>0.05</v>
      </c>
      <c r="DP139" s="685"/>
      <c r="DQ139" s="721"/>
      <c r="DR139" s="389" t="s">
        <v>190</v>
      </c>
      <c r="DS139" s="419">
        <v>10.879999999999999</v>
      </c>
      <c r="DT139" s="419">
        <v>10.879999999999999</v>
      </c>
      <c r="DU139" s="419">
        <v>10.879999999999999</v>
      </c>
      <c r="DV139" s="655"/>
      <c r="DW139" s="656"/>
      <c r="DX139" s="657"/>
      <c r="DZ139" s="399" t="s">
        <v>334</v>
      </c>
      <c r="EA139" s="424">
        <v>0</v>
      </c>
      <c r="EB139" s="393">
        <v>0.4</v>
      </c>
      <c r="EC139" s="390">
        <v>13.59</v>
      </c>
      <c r="ED139" s="408">
        <v>0.47</v>
      </c>
      <c r="EK139" s="532" t="s">
        <v>335</v>
      </c>
      <c r="EL139" s="491" t="s">
        <v>191</v>
      </c>
      <c r="EM139" s="492"/>
      <c r="EN139" s="584">
        <v>38</v>
      </c>
      <c r="EO139" s="500">
        <v>1</v>
      </c>
      <c r="EP139" s="500">
        <v>1</v>
      </c>
      <c r="EQ139" s="500">
        <v>1</v>
      </c>
      <c r="ER139" s="494">
        <v>0.8</v>
      </c>
      <c r="ES139" s="495">
        <f t="shared" si="275"/>
        <v>0</v>
      </c>
      <c r="ET139" s="496">
        <f t="shared" ref="ET139:ET171" si="277">ES139*(44/12)</f>
        <v>0</v>
      </c>
    </row>
    <row r="140" spans="24:150" s="30" customFormat="1" ht="16.5" customHeight="1" thickBot="1">
      <c r="X140" s="67"/>
      <c r="AB140" s="68"/>
      <c r="AD140" s="71"/>
      <c r="AE140" s="71"/>
      <c r="AG140" s="71"/>
      <c r="AH140" s="73"/>
      <c r="AJ140" s="74"/>
      <c r="AL140" s="78"/>
      <c r="AM140" s="78"/>
      <c r="AO140" s="71"/>
      <c r="AR140" s="74"/>
      <c r="AW140" s="71"/>
      <c r="AZ140" s="74"/>
      <c r="BB140" s="71"/>
      <c r="BD140" s="71"/>
      <c r="BG140" s="74"/>
      <c r="BI140" s="71"/>
      <c r="BK140" s="71"/>
      <c r="BN140" s="74"/>
      <c r="BP140" s="71"/>
      <c r="BQ140" s="71"/>
      <c r="BS140" s="71"/>
      <c r="BV140" s="74"/>
      <c r="BX140" s="71"/>
      <c r="BZ140" s="71"/>
      <c r="CA140" s="80"/>
      <c r="CC140" s="88"/>
      <c r="CD140" s="92" t="s">
        <v>336</v>
      </c>
      <c r="CE140" s="94" t="s">
        <v>330</v>
      </c>
      <c r="CF140" s="96">
        <f>(3.13757879682717*99.5%)</f>
        <v>3.1218909028430342</v>
      </c>
      <c r="CG140" s="90" t="s">
        <v>331</v>
      </c>
      <c r="CH140" s="98">
        <v>0.02</v>
      </c>
      <c r="CI140" s="98">
        <v>0.5</v>
      </c>
      <c r="CJ140" s="97" t="s">
        <v>337</v>
      </c>
      <c r="CK140" s="104">
        <v>0</v>
      </c>
      <c r="CL140" s="104">
        <f>CK140/1000</f>
        <v>0</v>
      </c>
      <c r="CM140" s="90" t="s">
        <v>323</v>
      </c>
      <c r="CN140" s="98">
        <v>0</v>
      </c>
      <c r="CO140" s="98">
        <v>0</v>
      </c>
      <c r="CP140" s="90"/>
      <c r="CQ140" s="104">
        <v>0</v>
      </c>
      <c r="CR140" s="104">
        <f>CQ140/1000</f>
        <v>0</v>
      </c>
      <c r="CS140" s="90" t="s">
        <v>324</v>
      </c>
      <c r="CT140" s="98">
        <v>0</v>
      </c>
      <c r="CU140" s="98">
        <v>0</v>
      </c>
      <c r="CV140" s="90"/>
      <c r="CW140" s="94">
        <v>0</v>
      </c>
      <c r="CX140" s="104">
        <f>CW140/1000</f>
        <v>0</v>
      </c>
      <c r="CY140" s="90" t="s">
        <v>323</v>
      </c>
      <c r="CZ140" s="98">
        <v>0</v>
      </c>
      <c r="DA140" s="98">
        <v>0</v>
      </c>
      <c r="DB140" s="90"/>
      <c r="DC140" s="94">
        <v>0</v>
      </c>
      <c r="DD140" s="104">
        <f>DC140/1000</f>
        <v>0</v>
      </c>
      <c r="DE140" s="90" t="s">
        <v>324</v>
      </c>
      <c r="DF140" s="98">
        <v>0</v>
      </c>
      <c r="DG140" s="98">
        <v>0</v>
      </c>
      <c r="DH140" s="90"/>
      <c r="DI140" s="104"/>
      <c r="DJ140" s="43">
        <f t="shared" si="258"/>
        <v>0.02</v>
      </c>
      <c r="DK140" s="43">
        <f t="shared" si="259"/>
        <v>0.5</v>
      </c>
      <c r="DP140" s="685"/>
      <c r="DQ140" s="721"/>
      <c r="DR140" s="389" t="s">
        <v>338</v>
      </c>
      <c r="DS140" s="573">
        <v>19.57</v>
      </c>
      <c r="DT140" s="573">
        <v>41.7</v>
      </c>
      <c r="DU140" s="573">
        <v>29.57</v>
      </c>
      <c r="DV140" s="643" t="s">
        <v>339</v>
      </c>
      <c r="DW140" s="644"/>
      <c r="DX140" s="645"/>
      <c r="DZ140" s="399" t="s">
        <v>340</v>
      </c>
      <c r="EA140" s="424">
        <v>0</v>
      </c>
      <c r="EB140" s="393">
        <v>0.4</v>
      </c>
      <c r="EC140" s="390">
        <v>13.59</v>
      </c>
      <c r="ED140" s="408">
        <v>0.47</v>
      </c>
      <c r="EK140" s="532" t="s">
        <v>341</v>
      </c>
      <c r="EL140" s="479" t="s">
        <v>178</v>
      </c>
      <c r="EM140" s="480"/>
      <c r="EN140" s="585">
        <v>52</v>
      </c>
      <c r="EO140" s="481">
        <v>1</v>
      </c>
      <c r="EP140" s="481">
        <v>1</v>
      </c>
      <c r="EQ140" s="481">
        <v>1</v>
      </c>
      <c r="ER140" s="482">
        <v>0.8</v>
      </c>
      <c r="ES140" s="483">
        <f t="shared" si="275"/>
        <v>0</v>
      </c>
      <c r="ET140" s="484">
        <f t="shared" si="277"/>
        <v>0</v>
      </c>
    </row>
    <row r="141" spans="24:150" s="30" customFormat="1" ht="28.15" thickBot="1">
      <c r="X141" s="67"/>
      <c r="AB141" s="68"/>
      <c r="AD141" s="71"/>
      <c r="AE141" s="71"/>
      <c r="AG141" s="71"/>
      <c r="AH141" s="73"/>
      <c r="AJ141" s="74"/>
      <c r="AL141" s="78"/>
      <c r="AM141" s="78"/>
      <c r="AO141" s="71"/>
      <c r="AR141" s="74"/>
      <c r="AW141" s="71"/>
      <c r="AZ141" s="74"/>
      <c r="BB141" s="71"/>
      <c r="BD141" s="71"/>
      <c r="BG141" s="74"/>
      <c r="BI141" s="71"/>
      <c r="BK141" s="71"/>
      <c r="BN141" s="74"/>
      <c r="BP141" s="71"/>
      <c r="BQ141" s="71"/>
      <c r="BS141" s="71"/>
      <c r="BV141" s="74"/>
      <c r="BX141" s="71"/>
      <c r="BZ141" s="71"/>
      <c r="CA141" s="80"/>
      <c r="CC141" s="88"/>
      <c r="CD141" s="92" t="s">
        <v>342</v>
      </c>
      <c r="CE141" s="90" t="s">
        <v>330</v>
      </c>
      <c r="CF141" s="96">
        <v>3.38</v>
      </c>
      <c r="CG141" s="90" t="s">
        <v>331</v>
      </c>
      <c r="CH141" s="98">
        <v>0.1</v>
      </c>
      <c r="CI141" s="98">
        <v>0.2</v>
      </c>
      <c r="CJ141" s="97" t="s">
        <v>343</v>
      </c>
      <c r="CK141" s="104">
        <v>0</v>
      </c>
      <c r="CL141" s="104">
        <f t="shared" ref="CL141" si="278">CK141/1000</f>
        <v>0</v>
      </c>
      <c r="CM141" s="90" t="s">
        <v>323</v>
      </c>
      <c r="CN141" s="98">
        <v>0</v>
      </c>
      <c r="CO141" s="98">
        <v>0</v>
      </c>
      <c r="CP141" s="90"/>
      <c r="CQ141" s="104">
        <v>0</v>
      </c>
      <c r="CR141" s="104">
        <f t="shared" ref="CR141" si="279">CQ141/1000</f>
        <v>0</v>
      </c>
      <c r="CS141" s="90" t="s">
        <v>324</v>
      </c>
      <c r="CT141" s="98">
        <v>0</v>
      </c>
      <c r="CU141" s="98">
        <v>0</v>
      </c>
      <c r="CV141" s="90"/>
      <c r="CW141" s="94">
        <v>0</v>
      </c>
      <c r="CX141" s="104">
        <f t="shared" ref="CX141" si="280">CW141/1000</f>
        <v>0</v>
      </c>
      <c r="CY141" s="90" t="s">
        <v>323</v>
      </c>
      <c r="CZ141" s="98">
        <v>0</v>
      </c>
      <c r="DA141" s="98">
        <v>0</v>
      </c>
      <c r="DB141" s="90"/>
      <c r="DC141" s="94">
        <v>0</v>
      </c>
      <c r="DD141" s="104">
        <f t="shared" ref="DD141" si="281">DC141/1000</f>
        <v>0</v>
      </c>
      <c r="DE141" s="90" t="s">
        <v>324</v>
      </c>
      <c r="DF141" s="98">
        <v>0</v>
      </c>
      <c r="DG141" s="98">
        <v>0</v>
      </c>
      <c r="DH141" s="90"/>
      <c r="DI141" s="104"/>
      <c r="DJ141" s="43">
        <f t="shared" si="258"/>
        <v>0.1</v>
      </c>
      <c r="DK141" s="43">
        <f t="shared" si="259"/>
        <v>0.2</v>
      </c>
      <c r="DP141" s="685"/>
      <c r="DQ141" s="721"/>
      <c r="DR141" s="389" t="s">
        <v>344</v>
      </c>
      <c r="DS141" s="573">
        <v>38.51</v>
      </c>
      <c r="DT141" s="573">
        <v>14.04</v>
      </c>
      <c r="DU141" s="573">
        <v>38.72</v>
      </c>
      <c r="DV141" s="646"/>
      <c r="DW141" s="647"/>
      <c r="DX141" s="648"/>
      <c r="DZ141" s="399" t="s">
        <v>345</v>
      </c>
      <c r="EA141" s="424">
        <v>0</v>
      </c>
      <c r="EB141" s="393">
        <v>0.4</v>
      </c>
      <c r="EC141" s="390">
        <v>13.59</v>
      </c>
      <c r="ED141" s="408">
        <v>0.47</v>
      </c>
      <c r="EK141" s="532" t="s">
        <v>346</v>
      </c>
      <c r="EL141" s="485" t="s">
        <v>174</v>
      </c>
      <c r="EM141" s="486"/>
      <c r="EN141" s="586">
        <v>44</v>
      </c>
      <c r="EO141" s="487">
        <v>1</v>
      </c>
      <c r="EP141" s="487">
        <v>1</v>
      </c>
      <c r="EQ141" s="487">
        <v>1</v>
      </c>
      <c r="ER141" s="488">
        <v>0.8</v>
      </c>
      <c r="ES141" s="489">
        <f t="shared" si="275"/>
        <v>0</v>
      </c>
      <c r="ET141" s="490">
        <f t="shared" si="277"/>
        <v>0</v>
      </c>
    </row>
    <row r="142" spans="24:150" s="30" customFormat="1" ht="16.149999999999999" thickBot="1">
      <c r="X142" s="67"/>
      <c r="AB142" s="68"/>
      <c r="AD142" s="71"/>
      <c r="AE142" s="71"/>
      <c r="AG142" s="71"/>
      <c r="AH142" s="73"/>
      <c r="AJ142" s="74"/>
      <c r="AL142" s="78"/>
      <c r="AM142" s="78"/>
      <c r="AO142" s="71"/>
      <c r="AR142" s="74"/>
      <c r="AW142" s="71"/>
      <c r="AZ142" s="74"/>
      <c r="BB142" s="71"/>
      <c r="BD142" s="71"/>
      <c r="BG142" s="74"/>
      <c r="BI142" s="71"/>
      <c r="BK142" s="71"/>
      <c r="BN142" s="74"/>
      <c r="BP142" s="71"/>
      <c r="BQ142" s="71"/>
      <c r="BS142" s="71"/>
      <c r="BV142" s="74"/>
      <c r="BX142" s="71"/>
      <c r="BZ142" s="71"/>
      <c r="CC142" s="38"/>
      <c r="CD142" s="29"/>
      <c r="CE142" s="39"/>
      <c r="CF142" s="39"/>
      <c r="CG142" s="39"/>
      <c r="CH142" s="40"/>
      <c r="CI142" s="40"/>
      <c r="CJ142" s="40"/>
      <c r="CK142" s="103"/>
      <c r="CL142" s="103"/>
      <c r="CM142" s="103"/>
      <c r="CN142" s="103"/>
      <c r="CO142" s="103"/>
      <c r="CP142" s="103"/>
      <c r="CQ142" s="39"/>
      <c r="CR142" s="103"/>
      <c r="CS142" s="103"/>
      <c r="CT142" s="39"/>
      <c r="CU142" s="39"/>
      <c r="CV142" s="39"/>
      <c r="CW142" s="41"/>
      <c r="CX142" s="103"/>
      <c r="CY142" s="103"/>
      <c r="CZ142" s="41"/>
      <c r="DA142" s="41"/>
      <c r="DB142" s="41"/>
      <c r="DC142" s="41"/>
      <c r="DD142" s="103"/>
      <c r="DE142" s="103"/>
      <c r="DF142" s="41"/>
      <c r="DG142" s="41"/>
      <c r="DH142" s="41"/>
      <c r="DI142" s="42"/>
      <c r="DJ142" s="43">
        <f t="shared" si="258"/>
        <v>0</v>
      </c>
      <c r="DK142" s="43">
        <f t="shared" si="259"/>
        <v>0</v>
      </c>
      <c r="DP142" s="685"/>
      <c r="DQ142" s="721"/>
      <c r="DR142" s="389" t="s">
        <v>219</v>
      </c>
      <c r="DS142" s="427">
        <v>13.59</v>
      </c>
      <c r="DT142" s="427">
        <v>13.59</v>
      </c>
      <c r="DU142" s="427">
        <v>13.59</v>
      </c>
      <c r="DV142" s="658" t="s">
        <v>318</v>
      </c>
      <c r="DW142" s="659"/>
      <c r="DX142" s="660"/>
      <c r="DZ142" s="399" t="s">
        <v>347</v>
      </c>
      <c r="EA142" s="385">
        <v>5.5319148936170217</v>
      </c>
      <c r="EB142" s="397"/>
      <c r="EC142" s="403"/>
      <c r="ED142" s="409">
        <v>0.47</v>
      </c>
      <c r="EK142" s="532" t="s">
        <v>348</v>
      </c>
      <c r="EL142" s="491" t="s">
        <v>191</v>
      </c>
      <c r="EM142" s="492"/>
      <c r="EN142" s="584">
        <v>38</v>
      </c>
      <c r="EO142" s="493">
        <v>1</v>
      </c>
      <c r="EP142" s="493">
        <v>1</v>
      </c>
      <c r="EQ142" s="493">
        <v>1</v>
      </c>
      <c r="ER142" s="494">
        <v>0.8</v>
      </c>
      <c r="ES142" s="495">
        <f t="shared" si="275"/>
        <v>0</v>
      </c>
      <c r="ET142" s="496">
        <f t="shared" si="277"/>
        <v>0</v>
      </c>
    </row>
    <row r="143" spans="24:150" s="30" customFormat="1" ht="27" customHeight="1" thickBot="1">
      <c r="X143" s="67"/>
      <c r="AB143" s="68"/>
      <c r="AD143" s="71"/>
      <c r="AE143" s="71"/>
      <c r="AG143" s="71"/>
      <c r="AH143" s="73"/>
      <c r="AJ143" s="74"/>
      <c r="AL143" s="78"/>
      <c r="AM143" s="78"/>
      <c r="AO143" s="71"/>
      <c r="AR143" s="74"/>
      <c r="AW143" s="71"/>
      <c r="AZ143" s="74"/>
      <c r="BB143" s="71"/>
      <c r="BD143" s="71"/>
      <c r="BG143" s="74"/>
      <c r="BI143" s="71"/>
      <c r="BK143" s="71"/>
      <c r="BN143" s="74"/>
      <c r="BP143" s="71"/>
      <c r="BQ143" s="71"/>
      <c r="BS143" s="71"/>
      <c r="BV143" s="74"/>
      <c r="BX143" s="71"/>
      <c r="BZ143" s="71"/>
      <c r="CC143" s="38"/>
      <c r="CD143" s="710" t="s">
        <v>349</v>
      </c>
      <c r="CE143" s="85"/>
      <c r="CF143" s="710" t="s">
        <v>350</v>
      </c>
      <c r="CG143" s="85"/>
      <c r="CH143" s="710" t="s">
        <v>181</v>
      </c>
      <c r="CI143" s="710" t="s">
        <v>181</v>
      </c>
      <c r="CJ143" s="710" t="s">
        <v>182</v>
      </c>
      <c r="CK143" s="85"/>
      <c r="CL143" s="710" t="s">
        <v>350</v>
      </c>
      <c r="CM143" s="85"/>
      <c r="CN143" s="710" t="s">
        <v>181</v>
      </c>
      <c r="CO143" s="710" t="s">
        <v>181</v>
      </c>
      <c r="CP143" s="710" t="s">
        <v>182</v>
      </c>
      <c r="CQ143" s="39"/>
      <c r="CR143" s="103"/>
      <c r="CS143" s="103"/>
      <c r="CT143" s="39"/>
      <c r="CU143" s="39"/>
      <c r="CV143" s="39"/>
      <c r="CW143" s="41"/>
      <c r="CX143" s="103"/>
      <c r="CY143" s="103"/>
      <c r="CZ143" s="41"/>
      <c r="DA143" s="41"/>
      <c r="DB143" s="41"/>
      <c r="DC143" s="41"/>
      <c r="DD143" s="103"/>
      <c r="DE143" s="103"/>
      <c r="DF143" s="41"/>
      <c r="DG143" s="41"/>
      <c r="DH143" s="41"/>
      <c r="DI143" s="42"/>
      <c r="DJ143" s="43" t="str">
        <f t="shared" ref="DJ143:DJ162" si="282">CH143</f>
        <v>Incertidumbre (+/- %)</v>
      </c>
      <c r="DK143" s="43" t="str">
        <f t="shared" ref="DK143:DK171" si="283">CI143</f>
        <v>Incertidumbre (+/- %)</v>
      </c>
      <c r="DP143" s="722" t="s">
        <v>351</v>
      </c>
      <c r="DQ143" s="723"/>
      <c r="DR143" s="723"/>
      <c r="DS143" s="428" t="s">
        <v>174</v>
      </c>
      <c r="DT143" s="428" t="s">
        <v>178</v>
      </c>
      <c r="DU143" s="428" t="s">
        <v>191</v>
      </c>
      <c r="DV143" s="724" t="s">
        <v>203</v>
      </c>
      <c r="DW143" s="724"/>
      <c r="DX143" s="725"/>
      <c r="DZ143" s="399" t="s">
        <v>352</v>
      </c>
      <c r="EA143" s="385">
        <v>21.276595744680851</v>
      </c>
      <c r="EB143" s="397"/>
      <c r="EC143" s="403"/>
      <c r="ED143" s="409">
        <v>0.47</v>
      </c>
      <c r="EK143" s="532" t="s">
        <v>353</v>
      </c>
      <c r="EL143" s="479" t="s">
        <v>178</v>
      </c>
      <c r="EM143" s="480"/>
      <c r="EN143" s="585">
        <v>52</v>
      </c>
      <c r="EO143" s="481">
        <v>1</v>
      </c>
      <c r="EP143" s="481">
        <v>1</v>
      </c>
      <c r="EQ143" s="481">
        <v>1</v>
      </c>
      <c r="ER143" s="482">
        <v>0.8</v>
      </c>
      <c r="ES143" s="483">
        <f t="shared" si="275"/>
        <v>0</v>
      </c>
      <c r="ET143" s="484">
        <f t="shared" si="277"/>
        <v>0</v>
      </c>
    </row>
    <row r="144" spans="24:150" s="30" customFormat="1" ht="53.25" customHeight="1" thickBot="1">
      <c r="X144" s="67"/>
      <c r="AB144" s="68"/>
      <c r="AD144" s="71"/>
      <c r="AE144" s="71"/>
      <c r="AG144" s="71"/>
      <c r="AH144" s="73"/>
      <c r="AJ144" s="74"/>
      <c r="AL144" s="78"/>
      <c r="AM144" s="78"/>
      <c r="AO144" s="71"/>
      <c r="AR144" s="74"/>
      <c r="AW144" s="71"/>
      <c r="AZ144" s="74"/>
      <c r="BB144" s="71"/>
      <c r="BD144" s="71"/>
      <c r="BG144" s="74"/>
      <c r="BI144" s="71"/>
      <c r="BK144" s="71"/>
      <c r="BN144" s="74"/>
      <c r="BP144" s="71"/>
      <c r="BQ144" s="71"/>
      <c r="BS144" s="71"/>
      <c r="BV144" s="74"/>
      <c r="BX144" s="71"/>
      <c r="BZ144" s="71"/>
      <c r="CC144" s="38"/>
      <c r="CD144" s="711"/>
      <c r="CE144" s="87" t="s">
        <v>193</v>
      </c>
      <c r="CF144" s="711"/>
      <c r="CG144" s="87" t="s">
        <v>194</v>
      </c>
      <c r="CH144" s="711"/>
      <c r="CI144" s="711"/>
      <c r="CJ144" s="711"/>
      <c r="CK144" s="87" t="s">
        <v>193</v>
      </c>
      <c r="CL144" s="711"/>
      <c r="CM144" s="87" t="s">
        <v>194</v>
      </c>
      <c r="CN144" s="711"/>
      <c r="CO144" s="711"/>
      <c r="CP144" s="711"/>
      <c r="CQ144" s="39"/>
      <c r="CR144" s="103"/>
      <c r="CS144" s="103"/>
      <c r="CT144" s="39"/>
      <c r="CU144" s="39"/>
      <c r="CV144" s="39"/>
      <c r="CW144" s="41"/>
      <c r="CX144" s="103"/>
      <c r="CY144" s="103"/>
      <c r="CZ144" s="41"/>
      <c r="DA144" s="41"/>
      <c r="DB144" s="41"/>
      <c r="DC144" s="41"/>
      <c r="DD144" s="103"/>
      <c r="DE144" s="103"/>
      <c r="DF144" s="41"/>
      <c r="DG144" s="41"/>
      <c r="DH144" s="41"/>
      <c r="DI144" s="42"/>
      <c r="DJ144" s="43">
        <f t="shared" si="282"/>
        <v>0</v>
      </c>
      <c r="DK144" s="43">
        <f t="shared" si="283"/>
        <v>0</v>
      </c>
      <c r="DP144" s="726" t="s">
        <v>136</v>
      </c>
      <c r="DQ144" s="727" t="s">
        <v>212</v>
      </c>
      <c r="DR144" s="605" t="s">
        <v>354</v>
      </c>
      <c r="DS144" s="429">
        <v>0.47</v>
      </c>
      <c r="DT144" s="429">
        <v>0.47</v>
      </c>
      <c r="DU144" s="429">
        <v>0.47</v>
      </c>
      <c r="DV144" s="728" t="s">
        <v>355</v>
      </c>
      <c r="DW144" s="728"/>
      <c r="DX144" s="729"/>
      <c r="DZ144" s="399" t="s">
        <v>356</v>
      </c>
      <c r="EA144" s="385">
        <v>5.5319148936170217</v>
      </c>
      <c r="EB144" s="397"/>
      <c r="EC144" s="403"/>
      <c r="ED144" s="409">
        <v>0.47</v>
      </c>
      <c r="EK144" s="532" t="s">
        <v>357</v>
      </c>
      <c r="EL144" s="485" t="s">
        <v>174</v>
      </c>
      <c r="EM144" s="486"/>
      <c r="EN144" s="586">
        <v>44</v>
      </c>
      <c r="EO144" s="487">
        <v>1</v>
      </c>
      <c r="EP144" s="487">
        <v>1</v>
      </c>
      <c r="EQ144" s="487">
        <v>1</v>
      </c>
      <c r="ER144" s="488">
        <v>0.8</v>
      </c>
      <c r="ES144" s="489">
        <f t="shared" si="275"/>
        <v>0</v>
      </c>
      <c r="ET144" s="490">
        <f t="shared" si="277"/>
        <v>0</v>
      </c>
    </row>
    <row r="145" spans="24:150" s="30" customFormat="1" ht="28.9" thickBot="1">
      <c r="X145" s="67"/>
      <c r="AB145" s="68"/>
      <c r="AD145" s="71"/>
      <c r="AE145" s="71"/>
      <c r="AG145" s="71"/>
      <c r="AH145" s="73"/>
      <c r="AJ145" s="74"/>
      <c r="AL145" s="78"/>
      <c r="AM145" s="78"/>
      <c r="AO145" s="71"/>
      <c r="AR145" s="74"/>
      <c r="AW145" s="71"/>
      <c r="AZ145" s="74"/>
      <c r="BB145" s="71"/>
      <c r="BD145" s="71"/>
      <c r="BG145" s="74"/>
      <c r="BI145" s="71"/>
      <c r="BK145" s="71"/>
      <c r="BN145" s="74"/>
      <c r="BP145" s="71"/>
      <c r="BQ145" s="71"/>
      <c r="BS145" s="71"/>
      <c r="BV145" s="74"/>
      <c r="BX145" s="71"/>
      <c r="BZ145" s="71"/>
      <c r="CC145" s="38"/>
      <c r="CD145" s="92" t="s">
        <v>358</v>
      </c>
      <c r="CE145" s="90" t="s">
        <v>330</v>
      </c>
      <c r="CF145" s="96">
        <v>12400</v>
      </c>
      <c r="CG145" s="90" t="s">
        <v>359</v>
      </c>
      <c r="CH145" s="98">
        <v>0.01</v>
      </c>
      <c r="CI145" s="98">
        <v>0.5</v>
      </c>
      <c r="CJ145" s="97" t="s">
        <v>360</v>
      </c>
      <c r="CK145" s="90" t="s">
        <v>330</v>
      </c>
      <c r="CL145" s="96">
        <v>14800</v>
      </c>
      <c r="CM145" s="90" t="s">
        <v>361</v>
      </c>
      <c r="CN145" s="98">
        <v>0.01</v>
      </c>
      <c r="CO145" s="98">
        <v>0.5</v>
      </c>
      <c r="CP145" s="97" t="s">
        <v>362</v>
      </c>
      <c r="CQ145" s="29"/>
      <c r="CR145" s="29"/>
      <c r="CS145" s="29"/>
      <c r="CT145" s="29"/>
      <c r="CU145" s="29"/>
      <c r="CV145" s="29"/>
      <c r="CW145" s="29"/>
      <c r="CX145" s="29"/>
      <c r="CY145" s="29"/>
      <c r="CZ145" s="103"/>
      <c r="DA145" s="103"/>
      <c r="DB145" s="103"/>
      <c r="DC145" s="41"/>
      <c r="DD145" s="103"/>
      <c r="DE145" s="103"/>
      <c r="DF145" s="41"/>
      <c r="DG145" s="41"/>
      <c r="DH145" s="103"/>
      <c r="DI145" s="42"/>
      <c r="DJ145" s="43">
        <f t="shared" si="282"/>
        <v>0.01</v>
      </c>
      <c r="DK145" s="43">
        <f t="shared" si="283"/>
        <v>0.5</v>
      </c>
      <c r="DP145" s="726"/>
      <c r="DQ145" s="727"/>
      <c r="DR145" s="605" t="s">
        <v>232</v>
      </c>
      <c r="DS145" s="430">
        <v>0.49</v>
      </c>
      <c r="DT145" s="430">
        <v>0.49</v>
      </c>
      <c r="DU145" s="430">
        <v>0.49</v>
      </c>
      <c r="DV145" s="728"/>
      <c r="DW145" s="728"/>
      <c r="DX145" s="729"/>
      <c r="DZ145" s="399" t="s">
        <v>363</v>
      </c>
      <c r="EA145" s="606">
        <v>49</v>
      </c>
      <c r="EB145" s="607">
        <v>0.21</v>
      </c>
      <c r="EC145" s="578">
        <v>5.05</v>
      </c>
      <c r="ED145" s="409">
        <v>0.49</v>
      </c>
      <c r="EK145" s="532" t="s">
        <v>364</v>
      </c>
      <c r="EL145" s="491" t="s">
        <v>191</v>
      </c>
      <c r="EM145" s="492"/>
      <c r="EN145" s="584">
        <v>38</v>
      </c>
      <c r="EO145" s="494">
        <v>0.8</v>
      </c>
      <c r="EP145" s="493">
        <v>1</v>
      </c>
      <c r="EQ145" s="493">
        <v>1</v>
      </c>
      <c r="ER145" s="494">
        <v>0.8</v>
      </c>
      <c r="ES145" s="495">
        <f t="shared" si="275"/>
        <v>0</v>
      </c>
      <c r="ET145" s="496">
        <f t="shared" si="277"/>
        <v>0</v>
      </c>
    </row>
    <row r="146" spans="24:150" s="30" customFormat="1" ht="16.149999999999999" thickBot="1">
      <c r="X146" s="67"/>
      <c r="AB146" s="68"/>
      <c r="AD146" s="71"/>
      <c r="AE146" s="71"/>
      <c r="AG146" s="71"/>
      <c r="AH146" s="73"/>
      <c r="AJ146" s="74"/>
      <c r="AL146" s="78"/>
      <c r="AM146" s="78"/>
      <c r="AO146" s="71"/>
      <c r="AR146" s="74"/>
      <c r="AW146" s="71"/>
      <c r="AZ146" s="74"/>
      <c r="BB146" s="71"/>
      <c r="BD146" s="71"/>
      <c r="BG146" s="74"/>
      <c r="BI146" s="71"/>
      <c r="BK146" s="71"/>
      <c r="BN146" s="74"/>
      <c r="BP146" s="71"/>
      <c r="BQ146" s="71"/>
      <c r="BS146" s="71"/>
      <c r="BV146" s="74"/>
      <c r="BX146" s="71"/>
      <c r="BZ146" s="71"/>
      <c r="CC146" s="38"/>
      <c r="CD146" s="92" t="s">
        <v>365</v>
      </c>
      <c r="CE146" s="90" t="s">
        <v>330</v>
      </c>
      <c r="CF146" s="96">
        <v>677</v>
      </c>
      <c r="CG146" s="90" t="s">
        <v>359</v>
      </c>
      <c r="CH146" s="98">
        <v>0.01</v>
      </c>
      <c r="CI146" s="98">
        <v>0.5</v>
      </c>
      <c r="CJ146" s="97" t="s">
        <v>360</v>
      </c>
      <c r="CK146" s="90" t="s">
        <v>330</v>
      </c>
      <c r="CL146" s="96">
        <v>675</v>
      </c>
      <c r="CM146" s="90" t="s">
        <v>361</v>
      </c>
      <c r="CN146" s="98">
        <v>0.01</v>
      </c>
      <c r="CO146" s="98">
        <v>0.5</v>
      </c>
      <c r="CP146" s="97" t="s">
        <v>362</v>
      </c>
      <c r="CQ146" s="29"/>
      <c r="CR146" s="29"/>
      <c r="CS146" s="29"/>
      <c r="CT146" s="29"/>
      <c r="CU146" s="29"/>
      <c r="CV146" s="29"/>
      <c r="CW146" s="29"/>
      <c r="CX146" s="29"/>
      <c r="CY146" s="29"/>
      <c r="CZ146" s="103"/>
      <c r="DA146" s="103"/>
      <c r="DB146" s="103"/>
      <c r="DC146" s="41"/>
      <c r="DD146" s="103"/>
      <c r="DE146" s="103"/>
      <c r="DF146" s="41"/>
      <c r="DG146" s="41"/>
      <c r="DH146" s="103"/>
      <c r="DI146" s="42"/>
      <c r="DJ146" s="43">
        <f t="shared" si="282"/>
        <v>0.01</v>
      </c>
      <c r="DK146" s="43">
        <f t="shared" si="283"/>
        <v>0.5</v>
      </c>
      <c r="DP146" s="726" t="s">
        <v>366</v>
      </c>
      <c r="DQ146" s="383" t="s">
        <v>367</v>
      </c>
      <c r="DR146" s="384" t="s">
        <v>368</v>
      </c>
      <c r="DS146" s="636">
        <v>5.5319148936170217</v>
      </c>
      <c r="DT146" s="636">
        <v>21.276595744680851</v>
      </c>
      <c r="DU146" s="637">
        <v>5.5319148936170217</v>
      </c>
      <c r="DV146" s="730" t="s">
        <v>369</v>
      </c>
      <c r="DW146" s="730"/>
      <c r="DX146" s="731"/>
      <c r="DZ146" s="399" t="s">
        <v>370</v>
      </c>
      <c r="EA146" s="606">
        <v>49</v>
      </c>
      <c r="EB146" s="607">
        <v>0.17</v>
      </c>
      <c r="EC146" s="578">
        <v>5.05</v>
      </c>
      <c r="ED146" s="409">
        <v>0.49</v>
      </c>
      <c r="EK146" s="532" t="s">
        <v>371</v>
      </c>
      <c r="EL146" s="479" t="s">
        <v>178</v>
      </c>
      <c r="EM146" s="480"/>
      <c r="EN146" s="585">
        <v>52</v>
      </c>
      <c r="EO146" s="482">
        <v>0.8</v>
      </c>
      <c r="EP146" s="481">
        <v>1</v>
      </c>
      <c r="EQ146" s="481">
        <v>1</v>
      </c>
      <c r="ER146" s="482">
        <v>0.8</v>
      </c>
      <c r="ES146" s="483">
        <f t="shared" si="275"/>
        <v>0</v>
      </c>
      <c r="ET146" s="484">
        <f t="shared" si="277"/>
        <v>0</v>
      </c>
    </row>
    <row r="147" spans="24:150" s="30" customFormat="1" ht="16.149999999999999" thickBot="1">
      <c r="X147" s="67"/>
      <c r="AB147" s="68"/>
      <c r="AD147" s="71"/>
      <c r="AE147" s="71"/>
      <c r="AG147" s="71"/>
      <c r="AH147" s="73"/>
      <c r="AJ147" s="74"/>
      <c r="AL147" s="78"/>
      <c r="AM147" s="78"/>
      <c r="AO147" s="71"/>
      <c r="AR147" s="74"/>
      <c r="AW147" s="71"/>
      <c r="AZ147" s="74"/>
      <c r="BB147" s="71"/>
      <c r="BD147" s="71"/>
      <c r="BG147" s="74"/>
      <c r="BI147" s="71"/>
      <c r="BK147" s="71"/>
      <c r="BN147" s="74"/>
      <c r="BP147" s="71"/>
      <c r="BQ147" s="71"/>
      <c r="BS147" s="71"/>
      <c r="BV147" s="74"/>
      <c r="BX147" s="71"/>
      <c r="BZ147" s="71"/>
      <c r="CC147" s="38"/>
      <c r="CD147" s="92" t="s">
        <v>372</v>
      </c>
      <c r="CE147" s="90" t="s">
        <v>330</v>
      </c>
      <c r="CF147" s="96">
        <v>3170</v>
      </c>
      <c r="CG147" s="90" t="s">
        <v>359</v>
      </c>
      <c r="CH147" s="98">
        <v>0.01</v>
      </c>
      <c r="CI147" s="98">
        <v>0.5</v>
      </c>
      <c r="CJ147" s="97" t="s">
        <v>360</v>
      </c>
      <c r="CK147" s="90"/>
      <c r="CL147" s="96"/>
      <c r="CM147" s="90"/>
      <c r="CN147" s="98"/>
      <c r="CO147" s="98"/>
      <c r="CP147" s="97"/>
      <c r="CQ147" s="29"/>
      <c r="CR147" s="29"/>
      <c r="CS147" s="29"/>
      <c r="CT147" s="29"/>
      <c r="CU147" s="29"/>
      <c r="CV147" s="29"/>
      <c r="CW147" s="29"/>
      <c r="CX147" s="29"/>
      <c r="CY147" s="29"/>
      <c r="CZ147" s="103"/>
      <c r="DA147" s="103"/>
      <c r="DB147" s="103"/>
      <c r="DC147" s="41"/>
      <c r="DD147" s="103"/>
      <c r="DE147" s="103"/>
      <c r="DF147" s="41"/>
      <c r="DG147" s="41"/>
      <c r="DH147" s="103"/>
      <c r="DI147" s="42"/>
      <c r="DJ147" s="43">
        <f t="shared" si="282"/>
        <v>0.01</v>
      </c>
      <c r="DK147" s="43">
        <f t="shared" si="283"/>
        <v>0.5</v>
      </c>
      <c r="DP147" s="726"/>
      <c r="DQ147" s="383" t="s">
        <v>367</v>
      </c>
      <c r="DR147" s="384" t="s">
        <v>373</v>
      </c>
      <c r="DS147" s="431">
        <v>48.96</v>
      </c>
      <c r="DT147" s="431">
        <v>48.96</v>
      </c>
      <c r="DU147" s="431">
        <v>48.96</v>
      </c>
      <c r="DV147" s="730"/>
      <c r="DW147" s="730"/>
      <c r="DX147" s="731"/>
      <c r="DZ147" s="399" t="s">
        <v>374</v>
      </c>
      <c r="EA147" s="606">
        <v>49</v>
      </c>
      <c r="EB147" s="607">
        <v>0.17</v>
      </c>
      <c r="EC147" s="578">
        <v>5.05</v>
      </c>
      <c r="ED147" s="409">
        <v>0.49</v>
      </c>
      <c r="EK147" s="532" t="s">
        <v>375</v>
      </c>
      <c r="EL147" s="485" t="s">
        <v>174</v>
      </c>
      <c r="EM147" s="486"/>
      <c r="EN147" s="586">
        <v>44</v>
      </c>
      <c r="EO147" s="501">
        <v>0.8</v>
      </c>
      <c r="EP147" s="501">
        <v>1</v>
      </c>
      <c r="EQ147" s="487">
        <v>1</v>
      </c>
      <c r="ER147" s="488">
        <v>0.8</v>
      </c>
      <c r="ES147" s="489">
        <f t="shared" si="275"/>
        <v>0</v>
      </c>
      <c r="ET147" s="490">
        <f t="shared" si="277"/>
        <v>0</v>
      </c>
    </row>
    <row r="148" spans="24:150" s="30" customFormat="1" ht="15.95" customHeight="1" thickBot="1">
      <c r="X148" s="67"/>
      <c r="AB148" s="68"/>
      <c r="AD148" s="71"/>
      <c r="AE148" s="71"/>
      <c r="AG148" s="71"/>
      <c r="AH148" s="73"/>
      <c r="AJ148" s="74"/>
      <c r="AL148" s="78"/>
      <c r="AM148" s="78"/>
      <c r="AO148" s="71"/>
      <c r="AR148" s="74"/>
      <c r="AW148" s="71"/>
      <c r="AZ148" s="74"/>
      <c r="BB148" s="71"/>
      <c r="BD148" s="71"/>
      <c r="BG148" s="74"/>
      <c r="BI148" s="71"/>
      <c r="BK148" s="71"/>
      <c r="BN148" s="74"/>
      <c r="BP148" s="71"/>
      <c r="BQ148" s="71"/>
      <c r="BS148" s="71"/>
      <c r="BV148" s="74"/>
      <c r="BX148" s="71"/>
      <c r="BZ148" s="71"/>
      <c r="CC148" s="38"/>
      <c r="CD148" s="92" t="s">
        <v>376</v>
      </c>
      <c r="CE148" s="90" t="s">
        <v>330</v>
      </c>
      <c r="CF148" s="96">
        <v>1120</v>
      </c>
      <c r="CG148" s="90" t="s">
        <v>359</v>
      </c>
      <c r="CH148" s="98">
        <v>0.01</v>
      </c>
      <c r="CI148" s="98">
        <v>0.5</v>
      </c>
      <c r="CJ148" s="97" t="s">
        <v>360</v>
      </c>
      <c r="CK148" s="90" t="s">
        <v>330</v>
      </c>
      <c r="CL148" s="96">
        <v>1100</v>
      </c>
      <c r="CM148" s="90" t="s">
        <v>361</v>
      </c>
      <c r="CN148" s="98">
        <v>0.01</v>
      </c>
      <c r="CO148" s="98">
        <v>0.5</v>
      </c>
      <c r="CP148" s="97" t="s">
        <v>362</v>
      </c>
      <c r="CQ148" s="29"/>
      <c r="CR148" s="29"/>
      <c r="CS148" s="29"/>
      <c r="CT148" s="29"/>
      <c r="CU148" s="29"/>
      <c r="CV148" s="29"/>
      <c r="CW148" s="29"/>
      <c r="CX148" s="29"/>
      <c r="CY148" s="29"/>
      <c r="CZ148" s="103"/>
      <c r="DA148" s="103"/>
      <c r="DB148" s="103"/>
      <c r="DC148" s="41"/>
      <c r="DD148" s="103"/>
      <c r="DE148" s="103"/>
      <c r="DF148" s="41"/>
      <c r="DG148" s="41"/>
      <c r="DH148" s="103"/>
      <c r="DI148" s="42"/>
      <c r="DJ148" s="43">
        <f t="shared" si="282"/>
        <v>0.01</v>
      </c>
      <c r="DK148" s="43">
        <f t="shared" si="283"/>
        <v>0.5</v>
      </c>
      <c r="DP148" s="386" t="s">
        <v>377</v>
      </c>
      <c r="DQ148" s="387" t="s">
        <v>367</v>
      </c>
      <c r="DR148" s="388" t="s">
        <v>373</v>
      </c>
      <c r="DS148" s="432">
        <v>5.05</v>
      </c>
      <c r="DT148" s="433">
        <v>5.05</v>
      </c>
      <c r="DU148" s="433">
        <v>5.05</v>
      </c>
      <c r="DV148" s="713" t="s">
        <v>295</v>
      </c>
      <c r="DW148" s="713"/>
      <c r="DX148" s="714"/>
      <c r="DZ148" s="580" t="s">
        <v>378</v>
      </c>
      <c r="EA148" s="579">
        <v>16</v>
      </c>
      <c r="EB148" s="607">
        <v>1.6</v>
      </c>
      <c r="EC148" s="403"/>
      <c r="ED148" s="410">
        <v>0.47</v>
      </c>
      <c r="EK148" s="532" t="s">
        <v>379</v>
      </c>
      <c r="EL148" s="502" t="s">
        <v>191</v>
      </c>
      <c r="EM148" s="492"/>
      <c r="EN148" s="584">
        <v>38</v>
      </c>
      <c r="EO148" s="504">
        <v>0.48</v>
      </c>
      <c r="EP148" s="493">
        <v>1</v>
      </c>
      <c r="EQ148" s="493">
        <v>1</v>
      </c>
      <c r="ER148" s="494">
        <v>0.8</v>
      </c>
      <c r="ES148" s="495">
        <f t="shared" si="275"/>
        <v>0</v>
      </c>
      <c r="ET148" s="496">
        <f t="shared" si="277"/>
        <v>0</v>
      </c>
    </row>
    <row r="149" spans="24:150" s="30" customFormat="1" ht="16.149999999999999" thickBot="1">
      <c r="X149" s="67"/>
      <c r="AB149" s="68"/>
      <c r="AD149" s="71"/>
      <c r="AE149" s="71"/>
      <c r="AG149" s="71"/>
      <c r="AH149" s="73"/>
      <c r="AJ149" s="74"/>
      <c r="AL149" s="78"/>
      <c r="AM149" s="78"/>
      <c r="AO149" s="71"/>
      <c r="AR149" s="74"/>
      <c r="AW149" s="71"/>
      <c r="AZ149" s="74"/>
      <c r="BB149" s="71"/>
      <c r="BD149" s="71"/>
      <c r="BG149" s="74"/>
      <c r="BI149" s="71"/>
      <c r="BK149" s="71"/>
      <c r="BN149" s="74"/>
      <c r="BP149" s="71"/>
      <c r="BQ149" s="71"/>
      <c r="BS149" s="71"/>
      <c r="BV149" s="74"/>
      <c r="BX149" s="71"/>
      <c r="BZ149" s="71"/>
      <c r="CC149" s="38"/>
      <c r="CD149" s="92" t="s">
        <v>380</v>
      </c>
      <c r="CE149" s="90" t="s">
        <v>330</v>
      </c>
      <c r="CF149" s="96">
        <v>1300</v>
      </c>
      <c r="CG149" s="90" t="s">
        <v>359</v>
      </c>
      <c r="CH149" s="98">
        <v>0.01</v>
      </c>
      <c r="CI149" s="98">
        <v>0.5</v>
      </c>
      <c r="CJ149" s="97" t="s">
        <v>360</v>
      </c>
      <c r="CK149" s="90" t="s">
        <v>330</v>
      </c>
      <c r="CL149" s="96">
        <v>1430</v>
      </c>
      <c r="CM149" s="90" t="s">
        <v>361</v>
      </c>
      <c r="CN149" s="98">
        <v>0.01</v>
      </c>
      <c r="CO149" s="98">
        <v>0.5</v>
      </c>
      <c r="CP149" s="97" t="s">
        <v>362</v>
      </c>
      <c r="CQ149" s="29"/>
      <c r="CR149" s="29"/>
      <c r="CS149" s="29"/>
      <c r="CT149" s="29"/>
      <c r="CU149" s="29"/>
      <c r="CV149" s="29"/>
      <c r="CW149" s="29"/>
      <c r="CX149" s="29"/>
      <c r="CY149" s="29"/>
      <c r="CZ149" s="103"/>
      <c r="DA149" s="103"/>
      <c r="DB149" s="103"/>
      <c r="DC149" s="41"/>
      <c r="DD149" s="103"/>
      <c r="DE149" s="103"/>
      <c r="DF149" s="41"/>
      <c r="DG149" s="41"/>
      <c r="DH149" s="103"/>
      <c r="DI149" s="42"/>
      <c r="DJ149" s="43">
        <f t="shared" si="282"/>
        <v>0.01</v>
      </c>
      <c r="DK149" s="43">
        <f t="shared" si="283"/>
        <v>0.5</v>
      </c>
      <c r="DP149" s="715" t="s">
        <v>147</v>
      </c>
      <c r="DQ149" s="716"/>
      <c r="DR149" s="717"/>
      <c r="DS149" s="434" t="s">
        <v>174</v>
      </c>
      <c r="DT149" s="434" t="s">
        <v>178</v>
      </c>
      <c r="DU149" s="434" t="s">
        <v>191</v>
      </c>
      <c r="DV149" s="718" t="s">
        <v>203</v>
      </c>
      <c r="DW149" s="719"/>
      <c r="DX149" s="720"/>
      <c r="DZ149" s="580" t="s">
        <v>381</v>
      </c>
      <c r="EA149" s="579">
        <v>16</v>
      </c>
      <c r="EB149" s="607">
        <v>1.6</v>
      </c>
      <c r="EC149" s="403"/>
      <c r="ED149" s="410">
        <v>0.47</v>
      </c>
      <c r="EK149" s="532" t="s">
        <v>382</v>
      </c>
      <c r="EL149" s="479" t="s">
        <v>178</v>
      </c>
      <c r="EM149" s="480"/>
      <c r="EN149" s="585">
        <v>52</v>
      </c>
      <c r="EO149" s="505">
        <v>0.48</v>
      </c>
      <c r="EP149" s="481">
        <v>1</v>
      </c>
      <c r="EQ149" s="481">
        <v>1</v>
      </c>
      <c r="ER149" s="482">
        <v>0.8</v>
      </c>
      <c r="ES149" s="483">
        <f t="shared" si="275"/>
        <v>0</v>
      </c>
      <c r="ET149" s="484">
        <f t="shared" si="277"/>
        <v>0</v>
      </c>
    </row>
    <row r="150" spans="24:150" s="30" customFormat="1" ht="16.149999999999999" thickBot="1">
      <c r="X150" s="67"/>
      <c r="AB150" s="68"/>
      <c r="AD150" s="71"/>
      <c r="AE150" s="71"/>
      <c r="AG150" s="71"/>
      <c r="AH150" s="73"/>
      <c r="AJ150" s="74"/>
      <c r="AL150" s="78"/>
      <c r="AM150" s="78"/>
      <c r="AO150" s="71"/>
      <c r="AR150" s="74"/>
      <c r="AW150" s="71"/>
      <c r="AZ150" s="74"/>
      <c r="BB150" s="71"/>
      <c r="BD150" s="71"/>
      <c r="BG150" s="74"/>
      <c r="BI150" s="71"/>
      <c r="BK150" s="71"/>
      <c r="BN150" s="74"/>
      <c r="BP150" s="71"/>
      <c r="BQ150" s="71"/>
      <c r="BS150" s="71"/>
      <c r="BV150" s="74"/>
      <c r="BX150" s="71"/>
      <c r="BZ150" s="71"/>
      <c r="CC150" s="38"/>
      <c r="CD150" s="92" t="s">
        <v>383</v>
      </c>
      <c r="CE150" s="90" t="s">
        <v>330</v>
      </c>
      <c r="CF150" s="96">
        <v>328</v>
      </c>
      <c r="CG150" s="90" t="s">
        <v>359</v>
      </c>
      <c r="CH150" s="98">
        <v>0.01</v>
      </c>
      <c r="CI150" s="98">
        <v>0.5</v>
      </c>
      <c r="CJ150" s="97" t="s">
        <v>360</v>
      </c>
      <c r="CK150" s="90" t="s">
        <v>330</v>
      </c>
      <c r="CL150" s="96">
        <v>353</v>
      </c>
      <c r="CM150" s="90" t="s">
        <v>361</v>
      </c>
      <c r="CN150" s="98">
        <v>0.01</v>
      </c>
      <c r="CO150" s="98">
        <v>0.5</v>
      </c>
      <c r="CP150" s="97" t="s">
        <v>362</v>
      </c>
      <c r="CQ150" s="29"/>
      <c r="CR150" s="29"/>
      <c r="CS150" s="29"/>
      <c r="CT150" s="29"/>
      <c r="CU150" s="29"/>
      <c r="CV150" s="29"/>
      <c r="CW150" s="29"/>
      <c r="CX150" s="29"/>
      <c r="CY150" s="29"/>
      <c r="CZ150" s="103"/>
      <c r="DA150" s="103"/>
      <c r="DB150" s="103"/>
      <c r="DC150" s="41"/>
      <c r="DD150" s="103"/>
      <c r="DE150" s="103"/>
      <c r="DF150" s="41"/>
      <c r="DG150" s="41"/>
      <c r="DH150" s="103"/>
      <c r="DI150" s="42"/>
      <c r="DJ150" s="43">
        <f t="shared" si="282"/>
        <v>0.01</v>
      </c>
      <c r="DK150" s="43">
        <f t="shared" si="283"/>
        <v>0.5</v>
      </c>
      <c r="DP150" s="376" t="s">
        <v>134</v>
      </c>
      <c r="DQ150" s="377" t="s">
        <v>238</v>
      </c>
      <c r="DR150" s="608" t="s">
        <v>384</v>
      </c>
      <c r="DS150" s="435">
        <v>1.6</v>
      </c>
      <c r="DT150" s="435">
        <v>1.6</v>
      </c>
      <c r="DU150" s="435">
        <v>1.6</v>
      </c>
      <c r="DV150" s="378" t="s">
        <v>385</v>
      </c>
      <c r="DW150" s="378"/>
      <c r="DX150" s="379"/>
      <c r="DZ150" s="580" t="s">
        <v>386</v>
      </c>
      <c r="EA150" s="579">
        <v>16</v>
      </c>
      <c r="EB150" s="607">
        <v>1.6</v>
      </c>
      <c r="EC150" s="403"/>
      <c r="ED150" s="410">
        <v>0.47</v>
      </c>
      <c r="EK150" s="532" t="s">
        <v>387</v>
      </c>
      <c r="EL150" s="485" t="s">
        <v>174</v>
      </c>
      <c r="EM150" s="486"/>
      <c r="EN150" s="586">
        <v>44</v>
      </c>
      <c r="EO150" s="506">
        <v>0.64</v>
      </c>
      <c r="EP150" s="487">
        <v>1</v>
      </c>
      <c r="EQ150" s="487">
        <v>1</v>
      </c>
      <c r="ER150" s="488">
        <v>0.8</v>
      </c>
      <c r="ES150" s="489">
        <f t="shared" si="275"/>
        <v>0</v>
      </c>
      <c r="ET150" s="490">
        <f t="shared" si="277"/>
        <v>0</v>
      </c>
    </row>
    <row r="151" spans="24:150" s="30" customFormat="1" ht="15.95" customHeight="1" thickBot="1">
      <c r="X151" s="67"/>
      <c r="AB151" s="68"/>
      <c r="AD151" s="71"/>
      <c r="AE151" s="71"/>
      <c r="AG151" s="71"/>
      <c r="AH151" s="73"/>
      <c r="AJ151" s="74"/>
      <c r="AL151" s="78"/>
      <c r="AM151" s="78"/>
      <c r="AO151" s="71"/>
      <c r="AR151" s="74"/>
      <c r="AW151" s="71"/>
      <c r="AZ151" s="74"/>
      <c r="BB151" s="71"/>
      <c r="BD151" s="71"/>
      <c r="BG151" s="74"/>
      <c r="BI151" s="71"/>
      <c r="BK151" s="71"/>
      <c r="BN151" s="74"/>
      <c r="BP151" s="71"/>
      <c r="BQ151" s="71"/>
      <c r="BS151" s="71"/>
      <c r="BV151" s="74"/>
      <c r="BX151" s="71"/>
      <c r="BZ151" s="71"/>
      <c r="CC151" s="38"/>
      <c r="CD151" s="92" t="s">
        <v>388</v>
      </c>
      <c r="CE151" s="90" t="s">
        <v>330</v>
      </c>
      <c r="CF151" s="96">
        <v>4800</v>
      </c>
      <c r="CG151" s="90" t="s">
        <v>359</v>
      </c>
      <c r="CH151" s="98">
        <v>0.01</v>
      </c>
      <c r="CI151" s="98">
        <v>0.5</v>
      </c>
      <c r="CJ151" s="97" t="s">
        <v>360</v>
      </c>
      <c r="CK151" s="90" t="s">
        <v>330</v>
      </c>
      <c r="CL151" s="96">
        <v>4470</v>
      </c>
      <c r="CM151" s="90" t="s">
        <v>361</v>
      </c>
      <c r="CN151" s="98">
        <v>0.01</v>
      </c>
      <c r="CO151" s="98">
        <v>0.5</v>
      </c>
      <c r="CP151" s="97" t="s">
        <v>362</v>
      </c>
      <c r="CQ151" s="29"/>
      <c r="CR151" s="29"/>
      <c r="CS151" s="29"/>
      <c r="CT151" s="29"/>
      <c r="CU151" s="29"/>
      <c r="CV151" s="29"/>
      <c r="CW151" s="29"/>
      <c r="CX151" s="29"/>
      <c r="CY151" s="29"/>
      <c r="CZ151" s="103"/>
      <c r="DA151" s="103"/>
      <c r="DB151" s="103"/>
      <c r="DC151" s="41"/>
      <c r="DD151" s="103"/>
      <c r="DE151" s="103"/>
      <c r="DF151" s="41"/>
      <c r="DG151" s="41"/>
      <c r="DH151" s="103"/>
      <c r="DI151" s="42"/>
      <c r="DJ151" s="43">
        <f t="shared" si="282"/>
        <v>0.01</v>
      </c>
      <c r="DK151" s="43">
        <f t="shared" si="283"/>
        <v>0.5</v>
      </c>
      <c r="DP151" s="380" t="s">
        <v>389</v>
      </c>
      <c r="DQ151" s="375" t="s">
        <v>212</v>
      </c>
      <c r="DR151" s="609" t="s">
        <v>384</v>
      </c>
      <c r="DS151" s="436">
        <v>0.47</v>
      </c>
      <c r="DT151" s="436">
        <v>0.47</v>
      </c>
      <c r="DU151" s="436">
        <v>0.47</v>
      </c>
      <c r="DV151" s="374" t="s">
        <v>390</v>
      </c>
      <c r="DW151" s="374"/>
      <c r="DX151" s="381"/>
      <c r="DZ151" s="399" t="s">
        <v>391</v>
      </c>
      <c r="EA151" s="397"/>
      <c r="EB151" s="638">
        <v>0.34799999999999998</v>
      </c>
      <c r="EC151" s="403"/>
      <c r="ED151" s="408">
        <v>0.49</v>
      </c>
      <c r="EK151" s="533" t="s">
        <v>392</v>
      </c>
      <c r="EL151" s="502" t="s">
        <v>191</v>
      </c>
      <c r="EM151" s="492"/>
      <c r="EN151" s="584">
        <v>38</v>
      </c>
      <c r="EO151" s="504">
        <v>0.48</v>
      </c>
      <c r="EP151" s="504">
        <v>1.22</v>
      </c>
      <c r="EQ151" s="493">
        <v>1</v>
      </c>
      <c r="ER151" s="494">
        <v>0.8</v>
      </c>
      <c r="ES151" s="495">
        <f t="shared" si="275"/>
        <v>0</v>
      </c>
      <c r="ET151" s="496">
        <f>ES151*(44/12)</f>
        <v>0</v>
      </c>
    </row>
    <row r="152" spans="24:150" s="30" customFormat="1" ht="97.5" thickBot="1">
      <c r="X152" s="67"/>
      <c r="AB152" s="68"/>
      <c r="AD152" s="71"/>
      <c r="AE152" s="71"/>
      <c r="AG152" s="71"/>
      <c r="AH152" s="73"/>
      <c r="AJ152" s="74"/>
      <c r="AL152" s="78"/>
      <c r="AM152" s="78"/>
      <c r="AO152" s="71"/>
      <c r="AR152" s="74"/>
      <c r="AW152" s="71"/>
      <c r="AZ152" s="74"/>
      <c r="BB152" s="71"/>
      <c r="BD152" s="71"/>
      <c r="BG152" s="74"/>
      <c r="BI152" s="71"/>
      <c r="BK152" s="71"/>
      <c r="BN152" s="74"/>
      <c r="BP152" s="71"/>
      <c r="BQ152" s="71"/>
      <c r="BS152" s="71"/>
      <c r="BV152" s="74"/>
      <c r="BX152" s="71"/>
      <c r="BZ152" s="71"/>
      <c r="CC152" s="38"/>
      <c r="CD152" s="92" t="s">
        <v>393</v>
      </c>
      <c r="CE152" s="90" t="s">
        <v>330</v>
      </c>
      <c r="CF152" s="96">
        <f>(CF149*4%)+(CF147*44%)+(CF151*52%)</f>
        <v>3942.8</v>
      </c>
      <c r="CG152" s="90" t="s">
        <v>359</v>
      </c>
      <c r="CH152" s="98">
        <v>0.01</v>
      </c>
      <c r="CI152" s="98">
        <v>0.5</v>
      </c>
      <c r="CJ152" s="97" t="s">
        <v>394</v>
      </c>
      <c r="CK152" s="90" t="s">
        <v>330</v>
      </c>
      <c r="CL152" s="96">
        <v>3922</v>
      </c>
      <c r="CM152" s="90" t="s">
        <v>361</v>
      </c>
      <c r="CN152" s="98">
        <v>0.01</v>
      </c>
      <c r="CO152" s="98">
        <v>0.5</v>
      </c>
      <c r="CP152" s="105" t="s">
        <v>395</v>
      </c>
      <c r="CQ152" s="29"/>
      <c r="CR152" s="29"/>
      <c r="CS152" s="29"/>
      <c r="CT152" s="29"/>
      <c r="CU152" s="29"/>
      <c r="CV152" s="29"/>
      <c r="CW152" s="29"/>
      <c r="CX152" s="29"/>
      <c r="CY152" s="29"/>
      <c r="CZ152" s="103"/>
      <c r="DA152" s="103"/>
      <c r="DB152" s="103"/>
      <c r="DC152" s="41"/>
      <c r="DD152" s="103"/>
      <c r="DE152" s="103"/>
      <c r="DF152" s="41"/>
      <c r="DG152" s="41"/>
      <c r="DH152" s="103"/>
      <c r="DI152" s="42"/>
      <c r="DJ152" s="43">
        <f t="shared" si="282"/>
        <v>0.01</v>
      </c>
      <c r="DK152" s="43">
        <f t="shared" si="283"/>
        <v>0.5</v>
      </c>
      <c r="DP152" s="576" t="s">
        <v>396</v>
      </c>
      <c r="DQ152" s="382" t="s">
        <v>397</v>
      </c>
      <c r="DR152" s="574" t="s">
        <v>384</v>
      </c>
      <c r="DS152" s="575">
        <v>16</v>
      </c>
      <c r="DT152" s="575">
        <v>16</v>
      </c>
      <c r="DU152" s="575">
        <v>16</v>
      </c>
      <c r="DV152" s="661" t="s">
        <v>398</v>
      </c>
      <c r="DW152" s="662"/>
      <c r="DX152" s="663"/>
      <c r="DZ152" s="399" t="s">
        <v>399</v>
      </c>
      <c r="EA152" s="397"/>
      <c r="EB152" s="639">
        <v>0.221</v>
      </c>
      <c r="EC152" s="403"/>
      <c r="ED152" s="408">
        <v>0.49</v>
      </c>
      <c r="EK152" s="533" t="s">
        <v>400</v>
      </c>
      <c r="EL152" s="507" t="s">
        <v>178</v>
      </c>
      <c r="EM152" s="480"/>
      <c r="EN152" s="585">
        <v>52</v>
      </c>
      <c r="EO152" s="505">
        <v>0.48</v>
      </c>
      <c r="EP152" s="505">
        <v>1.22</v>
      </c>
      <c r="EQ152" s="481">
        <v>1</v>
      </c>
      <c r="ER152" s="482">
        <v>0.8</v>
      </c>
      <c r="ES152" s="483">
        <f t="shared" si="275"/>
        <v>0</v>
      </c>
      <c r="ET152" s="484">
        <f t="shared" si="277"/>
        <v>0</v>
      </c>
    </row>
    <row r="153" spans="24:150" s="30" customFormat="1" ht="149.1" customHeight="1" thickBot="1">
      <c r="X153" s="67"/>
      <c r="AB153" s="68"/>
      <c r="AD153" s="71"/>
      <c r="AE153" s="71"/>
      <c r="AG153" s="71"/>
      <c r="AH153" s="73"/>
      <c r="AJ153" s="74"/>
      <c r="AL153" s="78"/>
      <c r="AM153" s="78"/>
      <c r="AO153" s="71"/>
      <c r="AR153" s="74"/>
      <c r="AW153" s="71"/>
      <c r="AZ153" s="74"/>
      <c r="BB153" s="71"/>
      <c r="BD153" s="71"/>
      <c r="BG153" s="74"/>
      <c r="BI153" s="71"/>
      <c r="BK153" s="71"/>
      <c r="BN153" s="74"/>
      <c r="BP153" s="71"/>
      <c r="BQ153" s="71"/>
      <c r="BS153" s="71"/>
      <c r="BV153" s="74"/>
      <c r="BX153" s="71"/>
      <c r="BZ153" s="71"/>
      <c r="CC153" s="38"/>
      <c r="CD153" s="92" t="s">
        <v>401</v>
      </c>
      <c r="CE153" s="90" t="s">
        <v>330</v>
      </c>
      <c r="CF153" s="96">
        <f>(CF149*52%)+(CF147*25%)+(CF146*23%)</f>
        <v>1624.21</v>
      </c>
      <c r="CG153" s="90" t="s">
        <v>359</v>
      </c>
      <c r="CH153" s="98">
        <v>0.01</v>
      </c>
      <c r="CI153" s="98">
        <v>0.5</v>
      </c>
      <c r="CJ153" s="97" t="s">
        <v>402</v>
      </c>
      <c r="CK153" s="90" t="s">
        <v>330</v>
      </c>
      <c r="CL153" s="96">
        <v>1774</v>
      </c>
      <c r="CM153" s="90" t="s">
        <v>361</v>
      </c>
      <c r="CN153" s="98">
        <v>0.01</v>
      </c>
      <c r="CO153" s="98">
        <v>0.5</v>
      </c>
      <c r="CP153" s="97" t="s">
        <v>362</v>
      </c>
      <c r="CQ153" s="29"/>
      <c r="CR153" s="29"/>
      <c r="CS153" s="29"/>
      <c r="CT153" s="29"/>
      <c r="CU153" s="29"/>
      <c r="CV153" s="29"/>
      <c r="CW153" s="29"/>
      <c r="CX153" s="29"/>
      <c r="CY153" s="29"/>
      <c r="CZ153" s="103"/>
      <c r="DA153" s="103"/>
      <c r="DB153" s="103"/>
      <c r="DC153" s="41"/>
      <c r="DD153" s="103"/>
      <c r="DE153" s="103"/>
      <c r="DF153" s="41"/>
      <c r="DG153" s="41"/>
      <c r="DH153" s="103"/>
      <c r="DI153" s="42"/>
      <c r="DJ153" s="43">
        <f t="shared" si="282"/>
        <v>0.01</v>
      </c>
      <c r="DK153" s="43">
        <f t="shared" si="283"/>
        <v>0.5</v>
      </c>
      <c r="DP153" s="31"/>
      <c r="DZ153" s="400" t="s">
        <v>403</v>
      </c>
      <c r="EA153" s="405"/>
      <c r="EB153" s="638">
        <v>0.28449999999999998</v>
      </c>
      <c r="EC153" s="406"/>
      <c r="ED153" s="411">
        <v>0.49</v>
      </c>
      <c r="EK153" s="533" t="s">
        <v>404</v>
      </c>
      <c r="EL153" s="497" t="s">
        <v>174</v>
      </c>
      <c r="EM153" s="486"/>
      <c r="EN153" s="586">
        <v>44</v>
      </c>
      <c r="EO153" s="506">
        <v>0.64</v>
      </c>
      <c r="EP153" s="506">
        <v>1.1599999999999999</v>
      </c>
      <c r="EQ153" s="487">
        <v>1</v>
      </c>
      <c r="ER153" s="488">
        <v>0.8</v>
      </c>
      <c r="ES153" s="489">
        <f t="shared" si="275"/>
        <v>0</v>
      </c>
      <c r="ET153" s="490">
        <f t="shared" si="277"/>
        <v>0</v>
      </c>
    </row>
    <row r="154" spans="24:150" s="30" customFormat="1" ht="153" thickBot="1">
      <c r="X154" s="67"/>
      <c r="AB154" s="68"/>
      <c r="AD154" s="71"/>
      <c r="AE154" s="71"/>
      <c r="AG154" s="71"/>
      <c r="AH154" s="73"/>
      <c r="AJ154" s="74"/>
      <c r="AL154" s="78"/>
      <c r="AM154" s="78"/>
      <c r="AO154" s="71"/>
      <c r="AR154" s="74"/>
      <c r="AW154" s="71"/>
      <c r="AZ154" s="74"/>
      <c r="BB154" s="71"/>
      <c r="BD154" s="71"/>
      <c r="BG154" s="74"/>
      <c r="BI154" s="71"/>
      <c r="BK154" s="71"/>
      <c r="BN154" s="74"/>
      <c r="BP154" s="71"/>
      <c r="BQ154" s="71"/>
      <c r="BS154" s="71"/>
      <c r="BV154" s="74"/>
      <c r="BX154" s="71"/>
      <c r="BZ154" s="71"/>
      <c r="CC154" s="38"/>
      <c r="CD154" s="92" t="s">
        <v>405</v>
      </c>
      <c r="CE154" s="90" t="s">
        <v>330</v>
      </c>
      <c r="CF154" s="96">
        <f>(CF147*50%)+(CF146*50%)</f>
        <v>1923.5</v>
      </c>
      <c r="CG154" s="90" t="s">
        <v>359</v>
      </c>
      <c r="CH154" s="98">
        <v>0.01</v>
      </c>
      <c r="CI154" s="98">
        <v>0.5</v>
      </c>
      <c r="CJ154" s="97" t="s">
        <v>406</v>
      </c>
      <c r="CK154" s="90" t="s">
        <v>330</v>
      </c>
      <c r="CL154" s="96">
        <v>2088</v>
      </c>
      <c r="CM154" s="90" t="s">
        <v>361</v>
      </c>
      <c r="CN154" s="98">
        <v>0.01</v>
      </c>
      <c r="CO154" s="98">
        <v>0.5</v>
      </c>
      <c r="CP154" s="97" t="s">
        <v>362</v>
      </c>
      <c r="CQ154" s="29"/>
      <c r="CR154" s="29"/>
      <c r="CS154" s="29"/>
      <c r="CT154" s="29"/>
      <c r="CU154" s="29"/>
      <c r="CV154" s="29"/>
      <c r="CW154" s="29"/>
      <c r="CX154" s="29"/>
      <c r="CY154" s="29"/>
      <c r="CZ154" s="103"/>
      <c r="DA154" s="103"/>
      <c r="DB154" s="103"/>
      <c r="DC154" s="41"/>
      <c r="DD154" s="103"/>
      <c r="DE154" s="103"/>
      <c r="DF154" s="41"/>
      <c r="DG154" s="41"/>
      <c r="DH154" s="103"/>
      <c r="DI154" s="42"/>
      <c r="DJ154" s="43">
        <f t="shared" si="282"/>
        <v>0.01</v>
      </c>
      <c r="DK154" s="43">
        <f t="shared" si="283"/>
        <v>0.5</v>
      </c>
      <c r="EK154" s="532" t="s">
        <v>407</v>
      </c>
      <c r="EL154" s="491" t="s">
        <v>191</v>
      </c>
      <c r="EM154" s="492"/>
      <c r="EN154" s="584">
        <v>38</v>
      </c>
      <c r="EO154" s="493">
        <v>1</v>
      </c>
      <c r="EP154" s="504">
        <v>1.1499999999999999</v>
      </c>
      <c r="EQ154" s="493">
        <v>1</v>
      </c>
      <c r="ER154" s="494">
        <v>0.8</v>
      </c>
      <c r="ES154" s="495">
        <f t="shared" si="275"/>
        <v>0</v>
      </c>
      <c r="ET154" s="496">
        <f t="shared" si="277"/>
        <v>0</v>
      </c>
    </row>
    <row r="155" spans="24:150" s="30" customFormat="1" ht="166.9" thickBot="1">
      <c r="X155" s="67"/>
      <c r="AB155" s="68"/>
      <c r="AD155" s="71"/>
      <c r="AE155" s="71"/>
      <c r="AG155" s="71"/>
      <c r="AH155" s="73"/>
      <c r="AJ155" s="74"/>
      <c r="AL155" s="78"/>
      <c r="AM155" s="78"/>
      <c r="AO155" s="71"/>
      <c r="AR155" s="74"/>
      <c r="AW155" s="71"/>
      <c r="AZ155" s="74"/>
      <c r="BB155" s="71"/>
      <c r="BD155" s="71"/>
      <c r="BG155" s="74"/>
      <c r="BI155" s="71"/>
      <c r="BK155" s="71"/>
      <c r="BN155" s="74"/>
      <c r="BP155" s="71"/>
      <c r="BQ155" s="71"/>
      <c r="BS155" s="71"/>
      <c r="BV155" s="74"/>
      <c r="BX155" s="71"/>
      <c r="BZ155" s="71"/>
      <c r="CC155" s="38"/>
      <c r="CD155" s="92" t="s">
        <v>408</v>
      </c>
      <c r="CE155" s="90" t="s">
        <v>330</v>
      </c>
      <c r="CF155" s="96">
        <f>(CF159*9%)+(CF149*88%)+(4*3%)</f>
        <v>1945.12</v>
      </c>
      <c r="CG155" s="90" t="s">
        <v>359</v>
      </c>
      <c r="CH155" s="98">
        <v>0.01</v>
      </c>
      <c r="CI155" s="98">
        <v>0.5</v>
      </c>
      <c r="CJ155" s="97" t="s">
        <v>409</v>
      </c>
      <c r="CK155" s="90" t="s">
        <v>330</v>
      </c>
      <c r="CL155" s="96">
        <v>2088</v>
      </c>
      <c r="CM155" s="90" t="s">
        <v>361</v>
      </c>
      <c r="CN155" s="98">
        <v>0.01</v>
      </c>
      <c r="CO155" s="98">
        <v>0.5</v>
      </c>
      <c r="CP155" s="97" t="s">
        <v>362</v>
      </c>
      <c r="CQ155" s="29"/>
      <c r="CR155" s="29"/>
      <c r="CS155" s="29"/>
      <c r="CT155" s="29"/>
      <c r="CU155" s="29"/>
      <c r="CV155" s="29"/>
      <c r="CW155" s="29"/>
      <c r="CX155" s="29"/>
      <c r="CY155" s="29"/>
      <c r="CZ155" s="103"/>
      <c r="DA155" s="103"/>
      <c r="DB155" s="103"/>
      <c r="DC155" s="41"/>
      <c r="DD155" s="103"/>
      <c r="DE155" s="103"/>
      <c r="DF155" s="41"/>
      <c r="DG155" s="41"/>
      <c r="DH155" s="103"/>
      <c r="DI155" s="42"/>
      <c r="DJ155" s="43">
        <f t="shared" ref="DJ155" si="284">CH155</f>
        <v>0.01</v>
      </c>
      <c r="DK155" s="43">
        <f t="shared" ref="DK155" si="285">CI155</f>
        <v>0.5</v>
      </c>
      <c r="EK155" s="532" t="s">
        <v>410</v>
      </c>
      <c r="EL155" s="479" t="s">
        <v>178</v>
      </c>
      <c r="EM155" s="480"/>
      <c r="EN155" s="585">
        <v>52</v>
      </c>
      <c r="EO155" s="481">
        <v>1</v>
      </c>
      <c r="EP155" s="505">
        <v>1.1499999999999999</v>
      </c>
      <c r="EQ155" s="481">
        <v>1</v>
      </c>
      <c r="ER155" s="482">
        <v>0.8</v>
      </c>
      <c r="ES155" s="483">
        <f t="shared" si="275"/>
        <v>0</v>
      </c>
      <c r="ET155" s="484">
        <f t="shared" si="277"/>
        <v>0</v>
      </c>
    </row>
    <row r="156" spans="24:150" s="30" customFormat="1" ht="180.75" thickBot="1">
      <c r="X156" s="67"/>
      <c r="AB156" s="68"/>
      <c r="AD156" s="71"/>
      <c r="AE156" s="71"/>
      <c r="AG156" s="71"/>
      <c r="AH156" s="73"/>
      <c r="AJ156" s="74"/>
      <c r="AL156" s="78"/>
      <c r="AM156" s="78"/>
      <c r="AO156" s="71"/>
      <c r="AR156" s="74"/>
      <c r="AW156" s="71"/>
      <c r="AZ156" s="74"/>
      <c r="BB156" s="71"/>
      <c r="BD156" s="71"/>
      <c r="BG156" s="74"/>
      <c r="BI156" s="71"/>
      <c r="BK156" s="71"/>
      <c r="BN156" s="74"/>
      <c r="BP156" s="71"/>
      <c r="BQ156" s="71"/>
      <c r="BS156" s="71"/>
      <c r="BV156" s="74"/>
      <c r="BX156" s="71"/>
      <c r="BZ156" s="71"/>
      <c r="CC156" s="38"/>
      <c r="CD156" s="92" t="s">
        <v>411</v>
      </c>
      <c r="CE156" s="90" t="s">
        <v>330</v>
      </c>
      <c r="CF156" s="96">
        <f>(CF147*65.1%)+(CF149*31.5%)+(4*3.4%)</f>
        <v>2473.3059999999996</v>
      </c>
      <c r="CG156" s="90" t="s">
        <v>359</v>
      </c>
      <c r="CH156" s="98">
        <v>0.01</v>
      </c>
      <c r="CI156" s="98">
        <v>0.5</v>
      </c>
      <c r="CJ156" s="97" t="s">
        <v>412</v>
      </c>
      <c r="CK156" s="90" t="s">
        <v>330</v>
      </c>
      <c r="CL156" s="96">
        <v>2729</v>
      </c>
      <c r="CM156" s="90" t="s">
        <v>361</v>
      </c>
      <c r="CN156" s="98">
        <v>0.01</v>
      </c>
      <c r="CO156" s="98">
        <v>0.5</v>
      </c>
      <c r="CP156" s="97" t="s">
        <v>362</v>
      </c>
      <c r="CQ156" s="29"/>
      <c r="CR156" s="29"/>
      <c r="CS156" s="29"/>
      <c r="CT156" s="29"/>
      <c r="CU156" s="29"/>
      <c r="CV156" s="29"/>
      <c r="CW156" s="29"/>
      <c r="CX156" s="29"/>
      <c r="CY156" s="29"/>
      <c r="CZ156" s="103"/>
      <c r="DA156" s="103"/>
      <c r="DB156" s="103"/>
      <c r="DC156" s="41"/>
      <c r="DD156" s="103"/>
      <c r="DE156" s="103"/>
      <c r="DF156" s="41"/>
      <c r="DG156" s="41"/>
      <c r="DH156" s="103"/>
      <c r="DI156" s="42"/>
      <c r="DJ156" s="43">
        <f t="shared" si="282"/>
        <v>0.01</v>
      </c>
      <c r="DK156" s="43">
        <f t="shared" si="283"/>
        <v>0.5</v>
      </c>
      <c r="EK156" s="532" t="s">
        <v>413</v>
      </c>
      <c r="EL156" s="485" t="s">
        <v>174</v>
      </c>
      <c r="EM156" s="486"/>
      <c r="EN156" s="586">
        <v>44</v>
      </c>
      <c r="EO156" s="487">
        <v>1</v>
      </c>
      <c r="EP156" s="506">
        <v>1.0900000000000001</v>
      </c>
      <c r="EQ156" s="487">
        <v>1</v>
      </c>
      <c r="ER156" s="488">
        <v>0.8</v>
      </c>
      <c r="ES156" s="489">
        <f t="shared" si="275"/>
        <v>0</v>
      </c>
      <c r="ET156" s="490">
        <f t="shared" si="277"/>
        <v>0</v>
      </c>
    </row>
    <row r="157" spans="24:150" s="30" customFormat="1" ht="166.9" thickBot="1">
      <c r="X157" s="67"/>
      <c r="AB157" s="68"/>
      <c r="AD157" s="71"/>
      <c r="AE157" s="71"/>
      <c r="AG157" s="71"/>
      <c r="AH157" s="73"/>
      <c r="AJ157" s="74"/>
      <c r="AL157" s="78"/>
      <c r="AM157" s="78"/>
      <c r="AO157" s="71"/>
      <c r="AR157" s="74"/>
      <c r="AW157" s="71"/>
      <c r="AZ157" s="74"/>
      <c r="BB157" s="71"/>
      <c r="BD157" s="71"/>
      <c r="BG157" s="74"/>
      <c r="BI157" s="71"/>
      <c r="BK157" s="71"/>
      <c r="BN157" s="74"/>
      <c r="BP157" s="71"/>
      <c r="BQ157" s="71"/>
      <c r="BS157" s="71"/>
      <c r="BV157" s="74"/>
      <c r="BX157" s="71"/>
      <c r="BZ157" s="71"/>
      <c r="CC157" s="38"/>
      <c r="CD157" s="92" t="s">
        <v>414</v>
      </c>
      <c r="CE157" s="90" t="s">
        <v>330</v>
      </c>
      <c r="CF157" s="96">
        <f>(CF147*50%)+(CF151*50%)</f>
        <v>3985</v>
      </c>
      <c r="CG157" s="90" t="s">
        <v>359</v>
      </c>
      <c r="CH157" s="98">
        <v>0.01</v>
      </c>
      <c r="CI157" s="98">
        <v>0.5</v>
      </c>
      <c r="CJ157" s="97" t="s">
        <v>415</v>
      </c>
      <c r="CK157" s="90" t="s">
        <v>330</v>
      </c>
      <c r="CL157" s="96">
        <v>2729</v>
      </c>
      <c r="CM157" s="90" t="s">
        <v>361</v>
      </c>
      <c r="CN157" s="98">
        <v>0.01</v>
      </c>
      <c r="CO157" s="98">
        <v>0.5</v>
      </c>
      <c r="CP157" s="97" t="s">
        <v>362</v>
      </c>
      <c r="CQ157" s="29"/>
      <c r="CR157" s="29"/>
      <c r="CS157" s="29"/>
      <c r="CT157" s="29"/>
      <c r="CU157" s="29"/>
      <c r="CV157" s="29"/>
      <c r="CW157" s="29"/>
      <c r="CX157" s="29"/>
      <c r="CY157" s="29"/>
      <c r="CZ157" s="103"/>
      <c r="DA157" s="103"/>
      <c r="DB157" s="103"/>
      <c r="DC157" s="41"/>
      <c r="DD157" s="103"/>
      <c r="DE157" s="103"/>
      <c r="DF157" s="41"/>
      <c r="DG157" s="41"/>
      <c r="DH157" s="103"/>
      <c r="DI157" s="42"/>
      <c r="DJ157" s="43">
        <f t="shared" ref="DJ157" si="286">CH157</f>
        <v>0.01</v>
      </c>
      <c r="DK157" s="43">
        <f t="shared" ref="DK157" si="287">CI157</f>
        <v>0.5</v>
      </c>
      <c r="EK157" s="533" t="s">
        <v>416</v>
      </c>
      <c r="EL157" s="491" t="s">
        <v>191</v>
      </c>
      <c r="EM157" s="492"/>
      <c r="EN157" s="584">
        <v>38</v>
      </c>
      <c r="EO157" s="493">
        <v>1</v>
      </c>
      <c r="EP157" s="493">
        <v>1</v>
      </c>
      <c r="EQ157" s="493">
        <v>1</v>
      </c>
      <c r="ER157" s="494">
        <v>0.8</v>
      </c>
      <c r="ES157" s="495">
        <f t="shared" si="275"/>
        <v>0</v>
      </c>
      <c r="ET157" s="496">
        <f t="shared" si="277"/>
        <v>0</v>
      </c>
    </row>
    <row r="158" spans="24:150" s="30" customFormat="1" ht="16.149999999999999" thickBot="1">
      <c r="X158" s="67"/>
      <c r="AB158" s="68"/>
      <c r="AD158" s="71"/>
      <c r="AE158" s="71"/>
      <c r="AG158" s="71"/>
      <c r="AH158" s="73"/>
      <c r="AJ158" s="74"/>
      <c r="AL158" s="78"/>
      <c r="AM158" s="78"/>
      <c r="AO158" s="71"/>
      <c r="AR158" s="74"/>
      <c r="AW158" s="71"/>
      <c r="AZ158" s="74"/>
      <c r="BB158" s="71"/>
      <c r="BD158" s="71"/>
      <c r="BG158" s="74"/>
      <c r="BI158" s="71"/>
      <c r="BK158" s="71"/>
      <c r="BN158" s="74"/>
      <c r="BP158" s="71"/>
      <c r="BQ158" s="71"/>
      <c r="BS158" s="71"/>
      <c r="BV158" s="74"/>
      <c r="BX158" s="71"/>
      <c r="BZ158" s="71"/>
      <c r="CC158" s="38"/>
      <c r="CD158" s="92" t="s">
        <v>417</v>
      </c>
      <c r="CE158" s="90" t="s">
        <v>330</v>
      </c>
      <c r="CF158" s="96">
        <v>6630</v>
      </c>
      <c r="CG158" s="90" t="s">
        <v>359</v>
      </c>
      <c r="CH158" s="98">
        <v>0.01</v>
      </c>
      <c r="CI158" s="98">
        <v>0.5</v>
      </c>
      <c r="CJ158" s="97" t="s">
        <v>360</v>
      </c>
      <c r="CK158" s="90" t="s">
        <v>330</v>
      </c>
      <c r="CL158" s="96">
        <v>7390</v>
      </c>
      <c r="CM158" s="90" t="s">
        <v>361</v>
      </c>
      <c r="CN158" s="98">
        <v>0.01</v>
      </c>
      <c r="CO158" s="98">
        <v>0.5</v>
      </c>
      <c r="CP158" s="97" t="s">
        <v>362</v>
      </c>
      <c r="CQ158" s="29"/>
      <c r="CR158" s="29"/>
      <c r="CS158" s="29"/>
      <c r="CT158" s="29"/>
      <c r="CU158" s="29"/>
      <c r="CV158" s="29"/>
      <c r="CW158" s="29"/>
      <c r="CX158" s="29"/>
      <c r="CY158" s="29"/>
      <c r="CZ158" s="103"/>
      <c r="DA158" s="103"/>
      <c r="DB158" s="103"/>
      <c r="DC158" s="41"/>
      <c r="DD158" s="103"/>
      <c r="DE158" s="103"/>
      <c r="DF158" s="41"/>
      <c r="DG158" s="41"/>
      <c r="DH158" s="103"/>
      <c r="DI158" s="42"/>
      <c r="DJ158" s="43">
        <f t="shared" si="282"/>
        <v>0.01</v>
      </c>
      <c r="DK158" s="43">
        <f t="shared" si="283"/>
        <v>0.5</v>
      </c>
      <c r="EK158" s="533" t="s">
        <v>418</v>
      </c>
      <c r="EL158" s="479" t="s">
        <v>178</v>
      </c>
      <c r="EM158" s="480"/>
      <c r="EN158" s="585">
        <v>52</v>
      </c>
      <c r="EO158" s="481">
        <v>1</v>
      </c>
      <c r="EP158" s="481">
        <v>1</v>
      </c>
      <c r="EQ158" s="481">
        <v>1</v>
      </c>
      <c r="ER158" s="482">
        <v>0.8</v>
      </c>
      <c r="ES158" s="483">
        <f t="shared" si="275"/>
        <v>0</v>
      </c>
      <c r="ET158" s="484">
        <f t="shared" si="277"/>
        <v>0</v>
      </c>
    </row>
    <row r="159" spans="24:150" s="30" customFormat="1" ht="16.149999999999999" thickBot="1">
      <c r="X159" s="67"/>
      <c r="AB159" s="68"/>
      <c r="AD159" s="71"/>
      <c r="AE159" s="71"/>
      <c r="AG159" s="71"/>
      <c r="AH159" s="73"/>
      <c r="AJ159" s="74"/>
      <c r="AL159" s="78"/>
      <c r="AM159" s="78"/>
      <c r="AO159" s="71"/>
      <c r="AR159" s="74"/>
      <c r="AW159" s="71"/>
      <c r="AZ159" s="74"/>
      <c r="BB159" s="71"/>
      <c r="BD159" s="71"/>
      <c r="BG159" s="74"/>
      <c r="BI159" s="71"/>
      <c r="BK159" s="71"/>
      <c r="BN159" s="74"/>
      <c r="BP159" s="71"/>
      <c r="BQ159" s="71"/>
      <c r="BS159" s="71"/>
      <c r="BV159" s="74"/>
      <c r="BX159" s="71"/>
      <c r="BZ159" s="71"/>
      <c r="CC159" s="38"/>
      <c r="CD159" s="92" t="s">
        <v>419</v>
      </c>
      <c r="CE159" s="90" t="s">
        <v>330</v>
      </c>
      <c r="CF159" s="96">
        <v>8900</v>
      </c>
      <c r="CG159" s="90" t="s">
        <v>359</v>
      </c>
      <c r="CH159" s="98">
        <v>0.01</v>
      </c>
      <c r="CI159" s="98">
        <v>0.5</v>
      </c>
      <c r="CJ159" s="97" t="s">
        <v>360</v>
      </c>
      <c r="CK159" s="90" t="s">
        <v>330</v>
      </c>
      <c r="CL159" s="96">
        <v>7390</v>
      </c>
      <c r="CM159" s="90" t="s">
        <v>361</v>
      </c>
      <c r="CN159" s="98">
        <v>0.01</v>
      </c>
      <c r="CO159" s="98">
        <v>0.5</v>
      </c>
      <c r="CP159" s="97" t="s">
        <v>362</v>
      </c>
      <c r="CQ159" s="29"/>
      <c r="CR159" s="29"/>
      <c r="CS159" s="29"/>
      <c r="CT159" s="29"/>
      <c r="CU159" s="29"/>
      <c r="CV159" s="29"/>
      <c r="CW159" s="29"/>
      <c r="CX159" s="29"/>
      <c r="CY159" s="29"/>
      <c r="CZ159" s="103"/>
      <c r="DA159" s="103"/>
      <c r="DB159" s="103"/>
      <c r="DC159" s="41"/>
      <c r="DD159" s="103"/>
      <c r="DE159" s="103"/>
      <c r="DF159" s="41"/>
      <c r="DG159" s="41"/>
      <c r="DH159" s="103"/>
      <c r="DI159" s="42"/>
      <c r="DJ159" s="43">
        <f t="shared" ref="DJ159" si="288">CH159</f>
        <v>0.01</v>
      </c>
      <c r="DK159" s="43">
        <f t="shared" ref="DK159" si="289">CI159</f>
        <v>0.5</v>
      </c>
      <c r="EK159" s="533" t="s">
        <v>420</v>
      </c>
      <c r="EL159" s="485" t="s">
        <v>174</v>
      </c>
      <c r="EM159" s="486"/>
      <c r="EN159" s="586">
        <v>44</v>
      </c>
      <c r="EO159" s="487">
        <v>1</v>
      </c>
      <c r="EP159" s="487">
        <v>1</v>
      </c>
      <c r="EQ159" s="487">
        <v>1</v>
      </c>
      <c r="ER159" s="488">
        <v>0.8</v>
      </c>
      <c r="ES159" s="489">
        <f t="shared" si="275"/>
        <v>0</v>
      </c>
      <c r="ET159" s="490">
        <f t="shared" si="277"/>
        <v>0</v>
      </c>
    </row>
    <row r="160" spans="24:150" s="30" customFormat="1" ht="15.95" customHeight="1" thickBot="1">
      <c r="X160" s="67"/>
      <c r="AB160" s="68"/>
      <c r="AD160" s="71"/>
      <c r="AE160" s="71"/>
      <c r="AG160" s="71"/>
      <c r="AH160" s="73"/>
      <c r="AJ160" s="74"/>
      <c r="AL160" s="78"/>
      <c r="AM160" s="78"/>
      <c r="AO160" s="71"/>
      <c r="AR160" s="74"/>
      <c r="AW160" s="71"/>
      <c r="AZ160" s="74"/>
      <c r="BB160" s="71"/>
      <c r="BD160" s="71"/>
      <c r="BG160" s="74"/>
      <c r="BI160" s="71"/>
      <c r="BK160" s="71"/>
      <c r="BN160" s="74"/>
      <c r="BP160" s="71"/>
      <c r="BQ160" s="71"/>
      <c r="BS160" s="71"/>
      <c r="BV160" s="74"/>
      <c r="BX160" s="71"/>
      <c r="BZ160" s="71"/>
      <c r="CC160" s="38"/>
      <c r="CD160" s="92"/>
      <c r="CE160" s="90"/>
      <c r="CF160" s="96"/>
      <c r="CG160" s="90"/>
      <c r="CH160" s="98"/>
      <c r="CI160" s="98"/>
      <c r="CJ160" s="97"/>
      <c r="CK160" s="90"/>
      <c r="CL160" s="96"/>
      <c r="CM160" s="90"/>
      <c r="CN160" s="98"/>
      <c r="CO160" s="98"/>
      <c r="CP160" s="97"/>
      <c r="CQ160" s="29"/>
      <c r="CR160" s="29"/>
      <c r="CS160" s="29"/>
      <c r="CT160" s="29"/>
      <c r="CU160" s="29"/>
      <c r="CV160" s="29"/>
      <c r="CW160" s="29"/>
      <c r="CX160" s="29"/>
      <c r="CY160" s="29"/>
      <c r="CZ160" s="103"/>
      <c r="DA160" s="103"/>
      <c r="DB160" s="103"/>
      <c r="DC160" s="41"/>
      <c r="DD160" s="103"/>
      <c r="DE160" s="103"/>
      <c r="DF160" s="41"/>
      <c r="DG160" s="41"/>
      <c r="DH160" s="103"/>
      <c r="DI160" s="42"/>
      <c r="DJ160" s="43">
        <f t="shared" si="282"/>
        <v>0</v>
      </c>
      <c r="DK160" s="43">
        <f t="shared" si="283"/>
        <v>0</v>
      </c>
      <c r="EK160" s="532" t="s">
        <v>421</v>
      </c>
      <c r="EL160" s="491" t="s">
        <v>191</v>
      </c>
      <c r="EM160" s="492"/>
      <c r="EN160" s="584">
        <v>38</v>
      </c>
      <c r="EO160" s="493">
        <v>1</v>
      </c>
      <c r="EP160" s="504">
        <v>0.97</v>
      </c>
      <c r="EQ160" s="493">
        <v>1</v>
      </c>
      <c r="ER160" s="494">
        <v>0.8</v>
      </c>
      <c r="ES160" s="495">
        <f t="shared" si="275"/>
        <v>0</v>
      </c>
      <c r="ET160" s="496">
        <f t="shared" si="277"/>
        <v>0</v>
      </c>
    </row>
    <row r="161" spans="24:150" s="30" customFormat="1" ht="15.75">
      <c r="X161" s="67"/>
      <c r="AB161" s="68"/>
      <c r="AD161" s="71"/>
      <c r="AE161" s="71"/>
      <c r="AG161" s="71"/>
      <c r="AH161" s="73"/>
      <c r="AJ161" s="74"/>
      <c r="AL161" s="78"/>
      <c r="AM161" s="78"/>
      <c r="AO161" s="71"/>
      <c r="AR161" s="74"/>
      <c r="AW161" s="71"/>
      <c r="AZ161" s="74"/>
      <c r="BB161" s="71"/>
      <c r="BD161" s="71"/>
      <c r="BG161" s="74"/>
      <c r="BI161" s="71"/>
      <c r="BK161" s="71"/>
      <c r="BN161" s="74"/>
      <c r="BP161" s="71"/>
      <c r="BQ161" s="71"/>
      <c r="BS161" s="71"/>
      <c r="BV161" s="74"/>
      <c r="BX161" s="71"/>
      <c r="BZ161" s="71"/>
      <c r="CC161" s="38"/>
      <c r="CD161" s="29"/>
      <c r="CE161" s="39"/>
      <c r="CF161" s="39"/>
      <c r="CG161" s="39"/>
      <c r="CH161" s="40"/>
      <c r="CI161" s="40"/>
      <c r="CJ161" s="40"/>
      <c r="CK161" s="103"/>
      <c r="CL161" s="103"/>
      <c r="CM161" s="103"/>
      <c r="CN161" s="103"/>
      <c r="CO161" s="103"/>
      <c r="CP161" s="103"/>
      <c r="CQ161" s="39"/>
      <c r="CR161" s="103"/>
      <c r="CS161" s="103"/>
      <c r="CT161" s="39"/>
      <c r="CU161" s="39"/>
      <c r="CV161" s="39"/>
      <c r="CW161" s="103"/>
      <c r="CX161" s="103"/>
      <c r="CY161" s="103"/>
      <c r="CZ161" s="103"/>
      <c r="DA161" s="103"/>
      <c r="DB161" s="103"/>
      <c r="DC161" s="41"/>
      <c r="DD161" s="103"/>
      <c r="DE161" s="103"/>
      <c r="DF161" s="41"/>
      <c r="DG161" s="41"/>
      <c r="DH161" s="103"/>
      <c r="DI161" s="42"/>
      <c r="DJ161" s="43">
        <f t="shared" si="282"/>
        <v>0</v>
      </c>
      <c r="DK161" s="43">
        <f t="shared" si="283"/>
        <v>0</v>
      </c>
      <c r="EK161" s="532" t="s">
        <v>422</v>
      </c>
      <c r="EL161" s="479" t="s">
        <v>178</v>
      </c>
      <c r="EM161" s="480"/>
      <c r="EN161" s="585">
        <v>52</v>
      </c>
      <c r="EO161" s="481">
        <v>1</v>
      </c>
      <c r="EP161" s="505">
        <v>0.97</v>
      </c>
      <c r="EQ161" s="481">
        <v>1</v>
      </c>
      <c r="ER161" s="482">
        <v>0.8</v>
      </c>
      <c r="ES161" s="483">
        <f t="shared" si="275"/>
        <v>0</v>
      </c>
      <c r="ET161" s="484">
        <f t="shared" si="277"/>
        <v>0</v>
      </c>
    </row>
    <row r="162" spans="24:150" s="30" customFormat="1" ht="16.149999999999999" thickBot="1">
      <c r="X162" s="67"/>
      <c r="AB162" s="68"/>
      <c r="AD162" s="71"/>
      <c r="AE162" s="71"/>
      <c r="AG162" s="71"/>
      <c r="AH162" s="73"/>
      <c r="AJ162" s="74"/>
      <c r="AL162" s="78"/>
      <c r="AM162" s="78"/>
      <c r="AO162" s="71"/>
      <c r="AR162" s="74"/>
      <c r="AW162" s="71"/>
      <c r="AZ162" s="74"/>
      <c r="BB162" s="71"/>
      <c r="BD162" s="71"/>
      <c r="BG162" s="74"/>
      <c r="BI162" s="71"/>
      <c r="BK162" s="71"/>
      <c r="BN162" s="74"/>
      <c r="BP162" s="71"/>
      <c r="BQ162" s="71"/>
      <c r="BS162" s="71"/>
      <c r="BV162" s="74"/>
      <c r="BX162" s="71"/>
      <c r="BZ162" s="71"/>
      <c r="CC162" s="38"/>
      <c r="CD162" s="29"/>
      <c r="CE162" s="39"/>
      <c r="CF162" s="39"/>
      <c r="CG162" s="39"/>
      <c r="CH162" s="40"/>
      <c r="CI162" s="40"/>
      <c r="CJ162" s="40"/>
      <c r="CK162" s="39"/>
      <c r="CL162" s="39"/>
      <c r="CM162" s="39"/>
      <c r="CN162" s="39"/>
      <c r="CO162" s="39"/>
      <c r="CP162" s="39"/>
      <c r="CQ162" s="39"/>
      <c r="CR162" s="39"/>
      <c r="CS162" s="39"/>
      <c r="CT162" s="39"/>
      <c r="CU162" s="39"/>
      <c r="CV162" s="39"/>
      <c r="CW162" s="41"/>
      <c r="CX162" s="39"/>
      <c r="CY162" s="39"/>
      <c r="CZ162" s="41"/>
      <c r="DA162" s="41"/>
      <c r="DB162" s="41"/>
      <c r="DC162" s="41"/>
      <c r="DD162" s="39"/>
      <c r="DE162" s="39"/>
      <c r="DF162" s="41"/>
      <c r="DG162" s="41"/>
      <c r="DH162" s="41"/>
      <c r="DI162" s="42"/>
      <c r="DJ162" s="43">
        <f t="shared" si="282"/>
        <v>0</v>
      </c>
      <c r="DK162" s="43">
        <f t="shared" si="283"/>
        <v>0</v>
      </c>
      <c r="EK162" s="532" t="s">
        <v>423</v>
      </c>
      <c r="EL162" s="485" t="s">
        <v>174</v>
      </c>
      <c r="EM162" s="486"/>
      <c r="EN162" s="586">
        <v>44</v>
      </c>
      <c r="EO162" s="487">
        <v>1</v>
      </c>
      <c r="EP162" s="506">
        <v>0.96</v>
      </c>
      <c r="EQ162" s="487">
        <v>1</v>
      </c>
      <c r="ER162" s="488">
        <v>0.8</v>
      </c>
      <c r="ES162" s="489">
        <f t="shared" si="275"/>
        <v>0</v>
      </c>
      <c r="ET162" s="490">
        <f t="shared" si="277"/>
        <v>0</v>
      </c>
    </row>
    <row r="163" spans="24:150" s="30" customFormat="1" ht="33.75" customHeight="1">
      <c r="X163" s="67"/>
      <c r="AB163" s="68"/>
      <c r="AD163" s="71"/>
      <c r="AE163" s="71"/>
      <c r="AG163" s="71"/>
      <c r="AH163" s="73"/>
      <c r="AJ163" s="74"/>
      <c r="AL163" s="78"/>
      <c r="AM163" s="78"/>
      <c r="AO163" s="71"/>
      <c r="AR163" s="74"/>
      <c r="AW163" s="71"/>
      <c r="AZ163" s="74"/>
      <c r="BB163" s="71"/>
      <c r="BD163" s="71"/>
      <c r="BG163" s="74"/>
      <c r="BI163" s="71"/>
      <c r="BK163" s="71"/>
      <c r="BN163" s="74"/>
      <c r="BP163" s="71"/>
      <c r="BQ163" s="71"/>
      <c r="BS163" s="71"/>
      <c r="BV163" s="74"/>
      <c r="BX163" s="71"/>
      <c r="BZ163" s="71"/>
      <c r="CC163" s="38"/>
      <c r="CD163" s="710" t="s">
        <v>424</v>
      </c>
      <c r="CE163" s="85"/>
      <c r="CF163" s="710" t="s">
        <v>350</v>
      </c>
      <c r="CG163" s="85"/>
      <c r="CH163" s="710" t="s">
        <v>181</v>
      </c>
      <c r="CI163" s="710" t="s">
        <v>181</v>
      </c>
      <c r="CJ163" s="710" t="s">
        <v>182</v>
      </c>
      <c r="CK163" s="85"/>
      <c r="CL163" s="710" t="s">
        <v>350</v>
      </c>
      <c r="CM163" s="85"/>
      <c r="CN163" s="710" t="s">
        <v>181</v>
      </c>
      <c r="CO163" s="710" t="s">
        <v>181</v>
      </c>
      <c r="CP163" s="710" t="s">
        <v>182</v>
      </c>
      <c r="CQ163" s="39"/>
      <c r="CR163" s="39"/>
      <c r="CS163" s="39"/>
      <c r="CT163" s="39"/>
      <c r="CU163" s="39"/>
      <c r="CV163" s="39"/>
      <c r="CW163" s="41"/>
      <c r="CX163" s="39"/>
      <c r="CY163" s="39"/>
      <c r="CZ163" s="41"/>
      <c r="DA163" s="41"/>
      <c r="DB163" s="41"/>
      <c r="DC163" s="41"/>
      <c r="DD163" s="39"/>
      <c r="DE163" s="39"/>
      <c r="DF163" s="41"/>
      <c r="DG163" s="41"/>
      <c r="DH163" s="41"/>
      <c r="DI163" s="42"/>
      <c r="DJ163" s="43"/>
      <c r="DK163" s="43" t="str">
        <f t="shared" si="283"/>
        <v>Incertidumbre (+/- %)</v>
      </c>
      <c r="EK163" s="533" t="s">
        <v>425</v>
      </c>
      <c r="EL163" s="502" t="s">
        <v>191</v>
      </c>
      <c r="EM163" s="492"/>
      <c r="EN163" s="584">
        <v>38</v>
      </c>
      <c r="EO163" s="493">
        <v>1</v>
      </c>
      <c r="EP163" s="504">
        <v>0.7</v>
      </c>
      <c r="EQ163" s="493">
        <v>1</v>
      </c>
      <c r="ER163" s="494">
        <v>0.8</v>
      </c>
      <c r="ES163" s="495">
        <f t="shared" si="275"/>
        <v>0</v>
      </c>
      <c r="ET163" s="496">
        <f t="shared" si="277"/>
        <v>0</v>
      </c>
    </row>
    <row r="164" spans="24:150" s="30" customFormat="1" ht="37.5" customHeight="1" thickBot="1">
      <c r="X164" s="67"/>
      <c r="AB164" s="68"/>
      <c r="AD164" s="71"/>
      <c r="AE164" s="71"/>
      <c r="AG164" s="71"/>
      <c r="AH164" s="73"/>
      <c r="AJ164" s="74"/>
      <c r="AL164" s="78"/>
      <c r="AM164" s="78"/>
      <c r="AO164" s="71"/>
      <c r="AR164" s="74"/>
      <c r="AW164" s="71"/>
      <c r="AZ164" s="74"/>
      <c r="BB164" s="71"/>
      <c r="BD164" s="71"/>
      <c r="BG164" s="74"/>
      <c r="BI164" s="71"/>
      <c r="BK164" s="71"/>
      <c r="BN164" s="74"/>
      <c r="BP164" s="71"/>
      <c r="BQ164" s="71"/>
      <c r="BS164" s="71"/>
      <c r="BV164" s="74"/>
      <c r="BX164" s="71"/>
      <c r="BZ164" s="71"/>
      <c r="CC164" s="38"/>
      <c r="CD164" s="711"/>
      <c r="CE164" s="87" t="s">
        <v>193</v>
      </c>
      <c r="CF164" s="711"/>
      <c r="CG164" s="87" t="s">
        <v>194</v>
      </c>
      <c r="CH164" s="711"/>
      <c r="CI164" s="711"/>
      <c r="CJ164" s="711"/>
      <c r="CK164" s="87" t="s">
        <v>193</v>
      </c>
      <c r="CL164" s="711"/>
      <c r="CM164" s="87" t="s">
        <v>194</v>
      </c>
      <c r="CN164" s="711"/>
      <c r="CO164" s="711"/>
      <c r="CP164" s="711"/>
      <c r="CQ164" s="39"/>
      <c r="CR164" s="39"/>
      <c r="CS164" s="39"/>
      <c r="CT164" s="39"/>
      <c r="CU164" s="39"/>
      <c r="CV164" s="39"/>
      <c r="CW164" s="41"/>
      <c r="CX164" s="39"/>
      <c r="CY164" s="39"/>
      <c r="CZ164" s="41"/>
      <c r="DA164" s="41"/>
      <c r="DB164" s="41"/>
      <c r="DC164" s="41"/>
      <c r="DD164" s="39"/>
      <c r="DE164" s="39"/>
      <c r="DF164" s="41"/>
      <c r="DG164" s="41"/>
      <c r="DH164" s="41"/>
      <c r="DI164" s="42"/>
      <c r="DJ164" s="43"/>
      <c r="DK164" s="43">
        <f t="shared" si="283"/>
        <v>0</v>
      </c>
      <c r="EK164" s="533" t="s">
        <v>426</v>
      </c>
      <c r="EL164" s="507" t="s">
        <v>178</v>
      </c>
      <c r="EM164" s="480"/>
      <c r="EN164" s="585">
        <v>52</v>
      </c>
      <c r="EO164" s="481">
        <v>1</v>
      </c>
      <c r="EP164" s="505">
        <v>0.7</v>
      </c>
      <c r="EQ164" s="481">
        <v>1</v>
      </c>
      <c r="ER164" s="482">
        <v>0.8</v>
      </c>
      <c r="ES164" s="483">
        <f t="shared" si="275"/>
        <v>0</v>
      </c>
      <c r="ET164" s="484">
        <f t="shared" si="277"/>
        <v>0</v>
      </c>
    </row>
    <row r="165" spans="24:150" s="30" customFormat="1" ht="16.149999999999999" thickBot="1">
      <c r="X165" s="67"/>
      <c r="AB165" s="68"/>
      <c r="AD165" s="71"/>
      <c r="AE165" s="71"/>
      <c r="AG165" s="71"/>
      <c r="AH165" s="73"/>
      <c r="AJ165" s="74"/>
      <c r="AL165" s="78"/>
      <c r="AM165" s="78"/>
      <c r="AO165" s="71"/>
      <c r="AR165" s="74"/>
      <c r="AW165" s="71"/>
      <c r="AZ165" s="74"/>
      <c r="BB165" s="71"/>
      <c r="BD165" s="71"/>
      <c r="BG165" s="74"/>
      <c r="BI165" s="71"/>
      <c r="BK165" s="71"/>
      <c r="BN165" s="74"/>
      <c r="BP165" s="71"/>
      <c r="BQ165" s="71"/>
      <c r="BS165" s="71"/>
      <c r="BV165" s="74"/>
      <c r="BX165" s="71"/>
      <c r="BZ165" s="71"/>
      <c r="CC165" s="38"/>
      <c r="CD165" s="92" t="str">
        <f>CD149</f>
        <v>HFC-134a / R-134a</v>
      </c>
      <c r="CE165" s="92" t="str">
        <f>CE149</f>
        <v>kg</v>
      </c>
      <c r="CF165" s="92">
        <f>CF149</f>
        <v>1300</v>
      </c>
      <c r="CG165" s="90" t="s">
        <v>359</v>
      </c>
      <c r="CH165" s="92">
        <f>CH149</f>
        <v>0.01</v>
      </c>
      <c r="CI165" s="92">
        <f>CI149</f>
        <v>0.5</v>
      </c>
      <c r="CJ165" s="92" t="str">
        <f>CJ149</f>
        <v>GWP-AR5-IPCC</v>
      </c>
      <c r="CK165" s="92" t="str">
        <f>CK149</f>
        <v>kg</v>
      </c>
      <c r="CL165" s="92"/>
      <c r="CM165" s="92" t="str">
        <f>CM149</f>
        <v>kgCO2eq/kg</v>
      </c>
      <c r="CN165" s="92">
        <f>CN149</f>
        <v>0.01</v>
      </c>
      <c r="CO165" s="92">
        <f>CO149</f>
        <v>0.5</v>
      </c>
      <c r="CP165" s="92" t="str">
        <f>CP149</f>
        <v>GWP-AR4-IPCC</v>
      </c>
      <c r="CQ165" s="39"/>
      <c r="CR165" s="39"/>
      <c r="CS165" s="39"/>
      <c r="CT165" s="39"/>
      <c r="CU165" s="39"/>
      <c r="CV165" s="39"/>
      <c r="CW165" s="41"/>
      <c r="CX165" s="39"/>
      <c r="CY165" s="39"/>
      <c r="CZ165" s="41"/>
      <c r="DA165" s="41"/>
      <c r="DB165" s="41"/>
      <c r="DC165" s="41"/>
      <c r="DD165" s="39"/>
      <c r="DE165" s="39"/>
      <c r="DF165" s="41"/>
      <c r="DG165" s="41"/>
      <c r="DH165" s="41"/>
      <c r="DI165" s="42"/>
      <c r="DJ165" s="43">
        <v>0.01</v>
      </c>
      <c r="DK165" s="43">
        <f t="shared" si="283"/>
        <v>0.5</v>
      </c>
      <c r="EK165" s="533" t="s">
        <v>427</v>
      </c>
      <c r="EL165" s="497" t="s">
        <v>174</v>
      </c>
      <c r="EM165" s="486"/>
      <c r="EN165" s="586">
        <v>44</v>
      </c>
      <c r="EO165" s="487">
        <v>1</v>
      </c>
      <c r="EP165" s="506">
        <v>0.7</v>
      </c>
      <c r="EQ165" s="487">
        <v>1</v>
      </c>
      <c r="ER165" s="488">
        <v>0.8</v>
      </c>
      <c r="ES165" s="489">
        <f t="shared" si="275"/>
        <v>0</v>
      </c>
      <c r="ET165" s="490">
        <f t="shared" si="277"/>
        <v>0</v>
      </c>
    </row>
    <row r="166" spans="24:150" s="30" customFormat="1" ht="149.1" customHeight="1" thickBot="1">
      <c r="X166" s="67"/>
      <c r="AB166" s="68"/>
      <c r="AD166" s="71"/>
      <c r="AE166" s="71"/>
      <c r="AG166" s="71"/>
      <c r="AH166" s="73"/>
      <c r="AJ166" s="74"/>
      <c r="AL166" s="78"/>
      <c r="AM166" s="78"/>
      <c r="AO166" s="71"/>
      <c r="AR166" s="74"/>
      <c r="AW166" s="71"/>
      <c r="AZ166" s="74"/>
      <c r="BB166" s="71"/>
      <c r="BD166" s="71"/>
      <c r="BG166" s="74"/>
      <c r="BI166" s="71"/>
      <c r="BK166" s="71"/>
      <c r="BN166" s="74"/>
      <c r="BP166" s="71"/>
      <c r="BQ166" s="71"/>
      <c r="BS166" s="71"/>
      <c r="BV166" s="74" t="s">
        <v>428</v>
      </c>
      <c r="BX166" s="71"/>
      <c r="BZ166" s="71"/>
      <c r="CC166" s="38"/>
      <c r="CD166" s="92" t="str">
        <f t="shared" ref="CD166:CF168" si="290">CD153</f>
        <v>HFC-407C / R-407C</v>
      </c>
      <c r="CE166" s="92" t="str">
        <f t="shared" si="290"/>
        <v>kg</v>
      </c>
      <c r="CF166" s="92">
        <f t="shared" si="290"/>
        <v>1624.21</v>
      </c>
      <c r="CG166" s="90" t="s">
        <v>359</v>
      </c>
      <c r="CH166" s="92">
        <f t="shared" ref="CH166:CK168" si="291">CH153</f>
        <v>0.01</v>
      </c>
      <c r="CI166" s="92">
        <f t="shared" si="291"/>
        <v>0.5</v>
      </c>
      <c r="CJ166" s="92" t="str">
        <f t="shared" si="291"/>
        <v>Calculado a partir de la composición porcentual con los valores del AR5 - IPCC. R134A=52%; R125=25%; R32=23%. Datos de porcentajes obtenidos de: IPCC    http://www.ipcc.ch/ipccreports/tar/wg3/index.php?idp=144</v>
      </c>
      <c r="CK166" s="92" t="str">
        <f t="shared" si="291"/>
        <v>kg</v>
      </c>
      <c r="CL166" s="92"/>
      <c r="CM166" s="92" t="str">
        <f t="shared" ref="CM166:CP168" si="292">CM153</f>
        <v>kgCO2eq/kg</v>
      </c>
      <c r="CN166" s="92">
        <f t="shared" si="292"/>
        <v>0.01</v>
      </c>
      <c r="CO166" s="92">
        <f t="shared" si="292"/>
        <v>0.5</v>
      </c>
      <c r="CP166" s="92" t="str">
        <f t="shared" si="292"/>
        <v>GWP-AR4-IPCC</v>
      </c>
      <c r="CQ166" s="29"/>
      <c r="CR166" s="29"/>
      <c r="CS166" s="29"/>
      <c r="CT166" s="29"/>
      <c r="CU166" s="29"/>
      <c r="CV166" s="29"/>
      <c r="CW166" s="29"/>
      <c r="CX166" s="29"/>
      <c r="CY166" s="29"/>
      <c r="CZ166" s="103"/>
      <c r="DA166" s="103"/>
      <c r="DB166" s="103"/>
      <c r="DC166" s="41"/>
      <c r="DD166" s="103"/>
      <c r="DE166" s="103"/>
      <c r="DF166" s="41"/>
      <c r="DG166" s="41"/>
      <c r="DH166" s="103"/>
      <c r="DI166" s="42"/>
      <c r="DJ166" s="43">
        <f t="shared" ref="DJ166:DJ169" si="293">CH166</f>
        <v>0.01</v>
      </c>
      <c r="DK166" s="43">
        <f t="shared" ref="DK166:DK169" si="294">CI166</f>
        <v>0.5</v>
      </c>
      <c r="EK166" s="664" t="s">
        <v>429</v>
      </c>
      <c r="EL166" s="510" t="s">
        <v>191</v>
      </c>
      <c r="EM166" s="511"/>
      <c r="EN166" s="587">
        <v>68</v>
      </c>
      <c r="EO166" s="512">
        <v>1</v>
      </c>
      <c r="EP166" s="512">
        <v>1</v>
      </c>
      <c r="EQ166" s="512">
        <v>1</v>
      </c>
      <c r="ER166" s="513">
        <v>0.8</v>
      </c>
      <c r="ES166" s="514">
        <f t="shared" si="275"/>
        <v>0</v>
      </c>
      <c r="ET166" s="515">
        <f t="shared" si="277"/>
        <v>0</v>
      </c>
    </row>
    <row r="167" spans="24:150" s="30" customFormat="1" ht="153" thickBot="1">
      <c r="X167" s="67"/>
      <c r="AB167" s="68"/>
      <c r="AD167" s="71"/>
      <c r="AE167" s="71"/>
      <c r="AG167" s="71"/>
      <c r="AH167" s="73"/>
      <c r="AJ167" s="74"/>
      <c r="AL167" s="78"/>
      <c r="AM167" s="78"/>
      <c r="AO167" s="71"/>
      <c r="AR167" s="74"/>
      <c r="AW167" s="71"/>
      <c r="AZ167" s="74"/>
      <c r="BB167" s="71"/>
      <c r="BD167" s="71"/>
      <c r="BG167" s="74"/>
      <c r="BI167" s="71"/>
      <c r="BK167" s="71"/>
      <c r="BN167" s="74"/>
      <c r="BP167" s="71"/>
      <c r="BQ167" s="71"/>
      <c r="BS167" s="71"/>
      <c r="BV167" s="74" t="s">
        <v>428</v>
      </c>
      <c r="BX167" s="71"/>
      <c r="BZ167" s="71"/>
      <c r="CC167" s="38"/>
      <c r="CD167" s="92" t="str">
        <f t="shared" si="290"/>
        <v>HFC-410a / R-410A</v>
      </c>
      <c r="CE167" s="92" t="str">
        <f t="shared" si="290"/>
        <v>kg</v>
      </c>
      <c r="CF167" s="92">
        <f t="shared" si="290"/>
        <v>1923.5</v>
      </c>
      <c r="CG167" s="90" t="s">
        <v>359</v>
      </c>
      <c r="CH167" s="92">
        <f t="shared" si="291"/>
        <v>0.01</v>
      </c>
      <c r="CI167" s="92">
        <f t="shared" si="291"/>
        <v>0.5</v>
      </c>
      <c r="CJ167" s="92" t="str">
        <f t="shared" si="291"/>
        <v>Calculado a partir de la composición porcentual con los valores del AR5 - IPCC. R125=50%; R32=50%. Datos de porcentajes obtenidos de: IPCC    http://www.ipcc.ch/ipccreports/tar/wg3/index.php?idp=144</v>
      </c>
      <c r="CK167" s="92" t="str">
        <f t="shared" si="291"/>
        <v>kg</v>
      </c>
      <c r="CL167" s="92"/>
      <c r="CM167" s="92" t="str">
        <f t="shared" si="292"/>
        <v>kgCO2eq/kg</v>
      </c>
      <c r="CN167" s="92">
        <f t="shared" si="292"/>
        <v>0.01</v>
      </c>
      <c r="CO167" s="92">
        <f t="shared" si="292"/>
        <v>0.5</v>
      </c>
      <c r="CP167" s="92" t="str">
        <f t="shared" si="292"/>
        <v>GWP-AR4-IPCC</v>
      </c>
      <c r="CQ167" s="29"/>
      <c r="CR167" s="29"/>
      <c r="CS167" s="29"/>
      <c r="CT167" s="29"/>
      <c r="CU167" s="29"/>
      <c r="CV167" s="29"/>
      <c r="CW167" s="29"/>
      <c r="CX167" s="29"/>
      <c r="CY167" s="29"/>
      <c r="CZ167" s="103"/>
      <c r="DA167" s="103"/>
      <c r="DB167" s="103"/>
      <c r="DC167" s="41"/>
      <c r="DD167" s="103"/>
      <c r="DE167" s="103"/>
      <c r="DF167" s="41"/>
      <c r="DG167" s="41"/>
      <c r="DH167" s="103"/>
      <c r="DI167" s="42"/>
      <c r="DJ167" s="43">
        <f t="shared" si="293"/>
        <v>0.01</v>
      </c>
      <c r="DK167" s="43">
        <f t="shared" si="294"/>
        <v>0.5</v>
      </c>
      <c r="EK167" s="665"/>
      <c r="EL167" s="516" t="s">
        <v>178</v>
      </c>
      <c r="EM167" s="517"/>
      <c r="EN167" s="582">
        <v>49</v>
      </c>
      <c r="EO167" s="518">
        <v>1</v>
      </c>
      <c r="EP167" s="518">
        <v>1</v>
      </c>
      <c r="EQ167" s="518">
        <v>1</v>
      </c>
      <c r="ER167" s="519">
        <v>0.8</v>
      </c>
      <c r="ES167" s="520">
        <f t="shared" si="275"/>
        <v>0</v>
      </c>
      <c r="ET167" s="521">
        <f t="shared" si="277"/>
        <v>0</v>
      </c>
    </row>
    <row r="168" spans="24:150" s="30" customFormat="1" ht="166.9" thickBot="1">
      <c r="X168" s="67"/>
      <c r="AB168" s="68"/>
      <c r="AD168" s="71"/>
      <c r="AE168" s="71"/>
      <c r="AG168" s="71"/>
      <c r="AH168" s="73"/>
      <c r="AJ168" s="74"/>
      <c r="AL168" s="78"/>
      <c r="AM168" s="78"/>
      <c r="AO168" s="71"/>
      <c r="AR168" s="74"/>
      <c r="AW168" s="71"/>
      <c r="AZ168" s="74"/>
      <c r="BB168" s="71"/>
      <c r="BD168" s="71"/>
      <c r="BG168" s="74"/>
      <c r="BI168" s="71"/>
      <c r="BK168" s="71"/>
      <c r="BN168" s="74"/>
      <c r="BP168" s="71"/>
      <c r="BQ168" s="71"/>
      <c r="BS168" s="71"/>
      <c r="BV168" s="74" t="s">
        <v>428</v>
      </c>
      <c r="BX168" s="71"/>
      <c r="BZ168" s="71"/>
      <c r="CC168" s="38"/>
      <c r="CD168" s="92" t="str">
        <f t="shared" si="290"/>
        <v>HFC-413a / R-413A</v>
      </c>
      <c r="CE168" s="92" t="str">
        <f t="shared" si="290"/>
        <v>kg</v>
      </c>
      <c r="CF168" s="92">
        <f t="shared" si="290"/>
        <v>1945.12</v>
      </c>
      <c r="CG168" s="90" t="s">
        <v>359</v>
      </c>
      <c r="CH168" s="99">
        <f t="shared" si="291"/>
        <v>0.01</v>
      </c>
      <c r="CI168" s="99">
        <f t="shared" si="291"/>
        <v>0.5</v>
      </c>
      <c r="CJ168" s="99" t="str">
        <f t="shared" si="291"/>
        <v>Calculado a partir de la composición porcentual con los valores del AR5 - IPCC. R218=9%; R134A=88% y R600=3%. Datos de porcentajes obtenidos de: IPCC    http://www.ipcc.ch/ipccreports/tar/wg3/index.php?idp=144</v>
      </c>
      <c r="CK168" s="92" t="str">
        <f t="shared" si="291"/>
        <v>kg</v>
      </c>
      <c r="CL168" s="92"/>
      <c r="CM168" s="92" t="str">
        <f t="shared" si="292"/>
        <v>kgCO2eq/kg</v>
      </c>
      <c r="CN168" s="99">
        <f t="shared" si="292"/>
        <v>0.01</v>
      </c>
      <c r="CO168" s="99">
        <f t="shared" si="292"/>
        <v>0.5</v>
      </c>
      <c r="CP168" s="99" t="str">
        <f t="shared" si="292"/>
        <v>GWP-AR4-IPCC</v>
      </c>
      <c r="CQ168" s="29"/>
      <c r="CR168" s="29"/>
      <c r="CS168" s="29"/>
      <c r="CT168" s="29"/>
      <c r="CU168" s="29"/>
      <c r="CV168" s="29"/>
      <c r="CW168" s="29"/>
      <c r="CX168" s="29"/>
      <c r="CY168" s="29"/>
      <c r="CZ168" s="103"/>
      <c r="DA168" s="103"/>
      <c r="DB168" s="103"/>
      <c r="DC168" s="41"/>
      <c r="DD168" s="103"/>
      <c r="DE168" s="103"/>
      <c r="DF168" s="41"/>
      <c r="DG168" s="41"/>
      <c r="DH168" s="103"/>
      <c r="DI168" s="42"/>
      <c r="DJ168" s="43">
        <f t="shared" si="293"/>
        <v>0.01</v>
      </c>
      <c r="DK168" s="43">
        <f t="shared" si="294"/>
        <v>0.5</v>
      </c>
      <c r="EK168" s="666"/>
      <c r="EL168" s="522" t="s">
        <v>174</v>
      </c>
      <c r="EM168" s="523"/>
      <c r="EN168" s="583">
        <v>82</v>
      </c>
      <c r="EO168" s="524">
        <v>1</v>
      </c>
      <c r="EP168" s="524">
        <v>1</v>
      </c>
      <c r="EQ168" s="524">
        <v>1</v>
      </c>
      <c r="ER168" s="525">
        <v>0.8</v>
      </c>
      <c r="ES168" s="526">
        <f t="shared" si="275"/>
        <v>0</v>
      </c>
      <c r="ET168" s="527">
        <f t="shared" si="277"/>
        <v>0</v>
      </c>
    </row>
    <row r="169" spans="24:150" s="30" customFormat="1" ht="166.9" thickBot="1">
      <c r="X169" s="67"/>
      <c r="AB169" s="68"/>
      <c r="AD169" s="71"/>
      <c r="AE169" s="71"/>
      <c r="AG169" s="71"/>
      <c r="AH169" s="73"/>
      <c r="AJ169" s="74"/>
      <c r="AL169" s="78"/>
      <c r="AM169" s="78"/>
      <c r="AO169" s="71"/>
      <c r="AR169" s="74"/>
      <c r="AW169" s="71"/>
      <c r="AZ169" s="74"/>
      <c r="BB169" s="71"/>
      <c r="BD169" s="71"/>
      <c r="BG169" s="74"/>
      <c r="BI169" s="71"/>
      <c r="BK169" s="71"/>
      <c r="BN169" s="74"/>
      <c r="BP169" s="71"/>
      <c r="BQ169" s="71"/>
      <c r="BS169" s="71"/>
      <c r="BV169" s="74" t="s">
        <v>428</v>
      </c>
      <c r="BX169" s="71"/>
      <c r="BZ169" s="71"/>
      <c r="CC169" s="38"/>
      <c r="CD169" s="92" t="str">
        <f>CD157</f>
        <v>HFC-507A / R-507A</v>
      </c>
      <c r="CE169" s="92" t="str">
        <f>CE157</f>
        <v>kg</v>
      </c>
      <c r="CF169" s="92">
        <f>CF157</f>
        <v>3985</v>
      </c>
      <c r="CG169" s="90" t="s">
        <v>359</v>
      </c>
      <c r="CH169" s="92">
        <f t="shared" ref="CH169:CP169" si="295">CH157</f>
        <v>0.01</v>
      </c>
      <c r="CI169" s="92">
        <f t="shared" si="295"/>
        <v>0.5</v>
      </c>
      <c r="CJ169" s="92" t="str">
        <f t="shared" si="295"/>
        <v>Calculado a partir de la composición porcentual con los valores del AR5 - IPCC. R125=50%; R134A=50%. Datos de porcentajes obtenidos de: https://gas-servei.com/shop/docs/ficha-tecnica-r-507a-gas-servei.pdf</v>
      </c>
      <c r="CK169" s="92" t="str">
        <f t="shared" si="295"/>
        <v>kg</v>
      </c>
      <c r="CL169" s="92">
        <f t="shared" si="295"/>
        <v>2729</v>
      </c>
      <c r="CM169" s="92" t="str">
        <f t="shared" si="295"/>
        <v>kgCO2eq/kg</v>
      </c>
      <c r="CN169" s="92">
        <f t="shared" si="295"/>
        <v>0.01</v>
      </c>
      <c r="CO169" s="92">
        <f t="shared" si="295"/>
        <v>0.5</v>
      </c>
      <c r="CP169" s="92" t="str">
        <f t="shared" si="295"/>
        <v>GWP-AR4-IPCC</v>
      </c>
      <c r="CQ169" s="29"/>
      <c r="CR169" s="29"/>
      <c r="CS169" s="29"/>
      <c r="CT169" s="29"/>
      <c r="CU169" s="29"/>
      <c r="CV169" s="29"/>
      <c r="CW169" s="29"/>
      <c r="CX169" s="29"/>
      <c r="CY169" s="29"/>
      <c r="CZ169" s="103"/>
      <c r="DA169" s="103"/>
      <c r="DB169" s="103"/>
      <c r="DC169" s="41"/>
      <c r="DD169" s="103"/>
      <c r="DE169" s="103"/>
      <c r="DF169" s="41"/>
      <c r="DG169" s="41"/>
      <c r="DH169" s="103"/>
      <c r="DI169" s="42"/>
      <c r="DJ169" s="43">
        <f t="shared" si="293"/>
        <v>0.01</v>
      </c>
      <c r="DK169" s="43">
        <f t="shared" si="294"/>
        <v>0.5</v>
      </c>
      <c r="EK169" s="532" t="s">
        <v>430</v>
      </c>
      <c r="EL169" s="491" t="s">
        <v>191</v>
      </c>
      <c r="EM169" s="492"/>
      <c r="EN169" s="584">
        <v>38</v>
      </c>
      <c r="EO169" s="503">
        <v>1</v>
      </c>
      <c r="EP169" s="503">
        <v>1</v>
      </c>
      <c r="EQ169" s="503">
        <v>1</v>
      </c>
      <c r="ER169" s="494">
        <v>0.8</v>
      </c>
      <c r="ES169" s="495">
        <f t="shared" si="275"/>
        <v>0</v>
      </c>
      <c r="ET169" s="528">
        <f t="shared" si="277"/>
        <v>0</v>
      </c>
    </row>
    <row r="170" spans="24:150" s="30" customFormat="1" ht="15.75">
      <c r="X170" s="67"/>
      <c r="AB170" s="68"/>
      <c r="AD170" s="71"/>
      <c r="AE170" s="71"/>
      <c r="AG170" s="71"/>
      <c r="AH170" s="73"/>
      <c r="AJ170" s="74"/>
      <c r="AL170" s="78"/>
      <c r="AM170" s="78"/>
      <c r="AO170" s="71"/>
      <c r="AR170" s="74"/>
      <c r="AW170" s="71"/>
      <c r="AZ170" s="74"/>
      <c r="BB170" s="71"/>
      <c r="BD170" s="71"/>
      <c r="BG170" s="74"/>
      <c r="BI170" s="71"/>
      <c r="BK170" s="71"/>
      <c r="BN170" s="74"/>
      <c r="BP170" s="71"/>
      <c r="BQ170" s="71"/>
      <c r="BS170" s="71"/>
      <c r="BV170" s="74"/>
      <c r="BX170" s="71"/>
      <c r="BZ170" s="71"/>
      <c r="CC170" s="38"/>
      <c r="CD170" s="29"/>
      <c r="CE170" s="39"/>
      <c r="CF170" s="39"/>
      <c r="CG170" s="39"/>
      <c r="CH170" s="40"/>
      <c r="CI170" s="40"/>
      <c r="CJ170" s="40"/>
      <c r="CK170" s="39"/>
      <c r="CL170" s="39"/>
      <c r="CM170" s="39"/>
      <c r="CN170" s="39"/>
      <c r="CO170" s="39"/>
      <c r="CP170" s="39"/>
      <c r="CQ170" s="41"/>
      <c r="CR170" s="39"/>
      <c r="CS170" s="39"/>
      <c r="CT170" s="41"/>
      <c r="CU170" s="41"/>
      <c r="CV170" s="41"/>
      <c r="CW170" s="39"/>
      <c r="CX170" s="39"/>
      <c r="CY170" s="39"/>
      <c r="CZ170" s="39"/>
      <c r="DA170" s="39"/>
      <c r="DB170" s="39"/>
      <c r="DC170" s="39"/>
      <c r="DD170" s="39"/>
      <c r="DE170" s="39"/>
      <c r="DF170" s="39"/>
      <c r="DG170" s="39"/>
      <c r="DH170" s="39"/>
      <c r="DI170" s="113"/>
      <c r="DJ170" s="43"/>
      <c r="DK170" s="43">
        <f t="shared" si="283"/>
        <v>0</v>
      </c>
      <c r="EK170" s="532" t="s">
        <v>431</v>
      </c>
      <c r="EL170" s="479" t="s">
        <v>178</v>
      </c>
      <c r="EM170" s="480"/>
      <c r="EN170" s="585">
        <v>52</v>
      </c>
      <c r="EO170" s="508">
        <v>1</v>
      </c>
      <c r="EP170" s="508">
        <v>1</v>
      </c>
      <c r="EQ170" s="508">
        <v>1</v>
      </c>
      <c r="ER170" s="482">
        <v>0.8</v>
      </c>
      <c r="ES170" s="483">
        <f t="shared" si="275"/>
        <v>0</v>
      </c>
      <c r="ET170" s="529">
        <f t="shared" si="277"/>
        <v>0</v>
      </c>
    </row>
    <row r="171" spans="24:150" s="30" customFormat="1" ht="16.149999999999999" thickBot="1">
      <c r="X171" s="67"/>
      <c r="AB171" s="68"/>
      <c r="AD171" s="71"/>
      <c r="AE171" s="71"/>
      <c r="AG171" s="71"/>
      <c r="AH171" s="73"/>
      <c r="AJ171" s="74"/>
      <c r="AL171" s="78"/>
      <c r="AM171" s="78"/>
      <c r="AO171" s="71"/>
      <c r="AR171" s="74"/>
      <c r="AW171" s="71"/>
      <c r="AZ171" s="74"/>
      <c r="BB171" s="71"/>
      <c r="BD171" s="71"/>
      <c r="BG171" s="74"/>
      <c r="BI171" s="71"/>
      <c r="BK171" s="71"/>
      <c r="BN171" s="74"/>
      <c r="BP171" s="71"/>
      <c r="BQ171" s="71"/>
      <c r="BS171" s="71"/>
      <c r="BV171" s="74"/>
      <c r="BX171" s="71"/>
      <c r="BZ171" s="71"/>
      <c r="CC171" s="38"/>
      <c r="CD171" s="29"/>
      <c r="CE171" s="39"/>
      <c r="CF171" s="39"/>
      <c r="CG171" s="39"/>
      <c r="CH171" s="40"/>
      <c r="CI171" s="40"/>
      <c r="CJ171" s="40"/>
      <c r="CK171" s="39"/>
      <c r="CL171" s="39"/>
      <c r="CM171" s="39"/>
      <c r="CN171" s="39"/>
      <c r="CO171" s="39"/>
      <c r="CP171" s="39"/>
      <c r="CQ171" s="41"/>
      <c r="CR171" s="39"/>
      <c r="CS171" s="39"/>
      <c r="CT171" s="41"/>
      <c r="CU171" s="41"/>
      <c r="CV171" s="41"/>
      <c r="CW171" s="39"/>
      <c r="CX171" s="39"/>
      <c r="CY171" s="39"/>
      <c r="CZ171" s="39"/>
      <c r="DA171" s="39"/>
      <c r="DB171" s="39"/>
      <c r="DC171" s="39"/>
      <c r="DD171" s="39"/>
      <c r="DE171" s="39"/>
      <c r="DF171" s="39"/>
      <c r="DG171" s="39"/>
      <c r="DH171" s="39"/>
      <c r="DI171" s="113"/>
      <c r="DJ171" s="43"/>
      <c r="DK171" s="43">
        <f t="shared" si="283"/>
        <v>0</v>
      </c>
      <c r="EK171" s="532" t="s">
        <v>432</v>
      </c>
      <c r="EL171" s="485" t="s">
        <v>174</v>
      </c>
      <c r="EM171" s="486"/>
      <c r="EN171" s="586">
        <v>44</v>
      </c>
      <c r="EO171" s="509">
        <v>1</v>
      </c>
      <c r="EP171" s="509">
        <v>1</v>
      </c>
      <c r="EQ171" s="509">
        <v>1</v>
      </c>
      <c r="ER171" s="488">
        <v>0.8</v>
      </c>
      <c r="ES171" s="489">
        <f t="shared" si="275"/>
        <v>0</v>
      </c>
      <c r="ET171" s="530">
        <f t="shared" si="277"/>
        <v>0</v>
      </c>
    </row>
    <row r="172" spans="24:150" s="30" customFormat="1" ht="33.75" customHeight="1">
      <c r="X172" s="67"/>
      <c r="AB172" s="68"/>
      <c r="AD172" s="71"/>
      <c r="AE172" s="71"/>
      <c r="AG172" s="71"/>
      <c r="AH172" s="73"/>
      <c r="AJ172" s="74"/>
      <c r="AL172" s="78"/>
      <c r="AM172" s="78"/>
      <c r="AO172" s="71"/>
      <c r="AR172" s="74"/>
      <c r="AW172" s="71"/>
      <c r="AZ172" s="74"/>
      <c r="BB172" s="71"/>
      <c r="BD172" s="71"/>
      <c r="BG172" s="74"/>
      <c r="BI172" s="71"/>
      <c r="BK172" s="71"/>
      <c r="BN172" s="74"/>
      <c r="BP172" s="71"/>
      <c r="BQ172" s="71"/>
      <c r="BS172" s="71"/>
      <c r="BV172" s="74"/>
      <c r="BX172" s="71"/>
      <c r="BZ172" s="71"/>
      <c r="CC172" s="38"/>
      <c r="CD172" s="710" t="s">
        <v>433</v>
      </c>
      <c r="CE172" s="85"/>
      <c r="CF172" s="710" t="s">
        <v>350</v>
      </c>
      <c r="CG172" s="85"/>
      <c r="CH172" s="710" t="s">
        <v>181</v>
      </c>
      <c r="CI172" s="710" t="s">
        <v>181</v>
      </c>
      <c r="CJ172" s="710" t="s">
        <v>182</v>
      </c>
      <c r="CK172" s="85"/>
      <c r="CL172" s="710" t="s">
        <v>350</v>
      </c>
      <c r="CM172" s="85"/>
      <c r="CN172" s="710" t="s">
        <v>181</v>
      </c>
      <c r="CO172" s="710" t="s">
        <v>181</v>
      </c>
      <c r="CP172" s="710" t="s">
        <v>182</v>
      </c>
      <c r="CQ172" s="39"/>
      <c r="CR172" s="39"/>
      <c r="CS172" s="39"/>
      <c r="CT172" s="39"/>
      <c r="CU172" s="39"/>
      <c r="CV172" s="39"/>
      <c r="CW172" s="41"/>
      <c r="CX172" s="39"/>
      <c r="CY172" s="39"/>
      <c r="CZ172" s="41"/>
      <c r="DA172" s="41"/>
      <c r="DB172" s="41"/>
      <c r="DC172" s="41"/>
      <c r="DD172" s="39"/>
      <c r="DE172" s="39"/>
      <c r="DF172" s="41"/>
      <c r="DG172" s="41"/>
      <c r="DH172" s="41"/>
      <c r="DI172" s="42"/>
      <c r="DJ172" s="43"/>
      <c r="DK172" s="43" t="str">
        <f t="shared" ref="DK172:DK234" si="296">CI172</f>
        <v>Incertidumbre (+/- %)</v>
      </c>
      <c r="EK172" s="589" t="s">
        <v>434</v>
      </c>
    </row>
    <row r="173" spans="24:150" s="30" customFormat="1" ht="37.5" customHeight="1" thickBot="1">
      <c r="X173" s="67"/>
      <c r="AB173" s="68"/>
      <c r="AD173" s="71"/>
      <c r="AE173" s="71"/>
      <c r="AG173" s="71"/>
      <c r="AH173" s="73"/>
      <c r="AJ173" s="74"/>
      <c r="AL173" s="78"/>
      <c r="AM173" s="78"/>
      <c r="AO173" s="71"/>
      <c r="AR173" s="74"/>
      <c r="AW173" s="71"/>
      <c r="AZ173" s="74"/>
      <c r="BB173" s="71"/>
      <c r="BD173" s="71"/>
      <c r="BG173" s="74"/>
      <c r="BI173" s="71"/>
      <c r="BK173" s="71"/>
      <c r="BN173" s="74"/>
      <c r="BP173" s="71"/>
      <c r="BQ173" s="71"/>
      <c r="BS173" s="71"/>
      <c r="BV173" s="74"/>
      <c r="BX173" s="71"/>
      <c r="BZ173" s="71"/>
      <c r="CC173" s="38"/>
      <c r="CD173" s="711"/>
      <c r="CE173" s="87" t="s">
        <v>193</v>
      </c>
      <c r="CF173" s="711"/>
      <c r="CG173" s="87" t="s">
        <v>194</v>
      </c>
      <c r="CH173" s="711"/>
      <c r="CI173" s="711"/>
      <c r="CJ173" s="711"/>
      <c r="CK173" s="87" t="s">
        <v>193</v>
      </c>
      <c r="CL173" s="711"/>
      <c r="CM173" s="87" t="s">
        <v>194</v>
      </c>
      <c r="CN173" s="711"/>
      <c r="CO173" s="711"/>
      <c r="CP173" s="711"/>
      <c r="CQ173" s="39"/>
      <c r="CR173" s="39"/>
      <c r="CS173" s="39"/>
      <c r="CT173" s="39"/>
      <c r="CU173" s="39"/>
      <c r="CV173" s="39"/>
      <c r="CW173" s="41"/>
      <c r="CX173" s="39"/>
      <c r="CY173" s="39"/>
      <c r="CZ173" s="41"/>
      <c r="DA173" s="41"/>
      <c r="DB173" s="41"/>
      <c r="DC173" s="41"/>
      <c r="DD173" s="39"/>
      <c r="DE173" s="39"/>
      <c r="DF173" s="41"/>
      <c r="DG173" s="41"/>
      <c r="DH173" s="41"/>
      <c r="DI173" s="42"/>
      <c r="DJ173" s="43"/>
      <c r="DK173" s="43">
        <f t="shared" si="296"/>
        <v>0</v>
      </c>
      <c r="EK173"/>
    </row>
    <row r="174" spans="24:150" s="30" customFormat="1" ht="16.149999999999999" thickBot="1">
      <c r="X174" s="67"/>
      <c r="AB174" s="68"/>
      <c r="AD174" s="71"/>
      <c r="AE174" s="71"/>
      <c r="AG174" s="71"/>
      <c r="AH174" s="73"/>
      <c r="AJ174" s="74"/>
      <c r="AL174" s="78"/>
      <c r="AM174" s="78"/>
      <c r="AO174" s="71"/>
      <c r="AR174" s="74"/>
      <c r="AW174" s="71"/>
      <c r="AZ174" s="74"/>
      <c r="BB174" s="71"/>
      <c r="BD174" s="71"/>
      <c r="BG174" s="74"/>
      <c r="BI174" s="71"/>
      <c r="BK174" s="71"/>
      <c r="BN174" s="74"/>
      <c r="BP174" s="71"/>
      <c r="BQ174" s="71"/>
      <c r="BS174" s="71"/>
      <c r="BV174" s="74"/>
      <c r="BX174" s="71"/>
      <c r="BZ174" s="71"/>
      <c r="CC174" s="38"/>
      <c r="CD174" s="92" t="s">
        <v>435</v>
      </c>
      <c r="CE174" s="90" t="s">
        <v>330</v>
      </c>
      <c r="CF174" s="96">
        <v>1</v>
      </c>
      <c r="CG174" s="90" t="s">
        <v>436</v>
      </c>
      <c r="CH174" s="98">
        <v>0.01</v>
      </c>
      <c r="CI174" s="98">
        <v>0.5</v>
      </c>
      <c r="CJ174" s="97" t="s">
        <v>360</v>
      </c>
      <c r="CK174" s="90" t="s">
        <v>330</v>
      </c>
      <c r="CL174" s="96">
        <v>1</v>
      </c>
      <c r="CM174" s="90" t="s">
        <v>361</v>
      </c>
      <c r="CN174" s="98">
        <v>0.01</v>
      </c>
      <c r="CO174" s="98">
        <v>0.5</v>
      </c>
      <c r="CP174" s="97" t="s">
        <v>362</v>
      </c>
      <c r="CQ174" s="39"/>
      <c r="CR174" s="39"/>
      <c r="CS174" s="39"/>
      <c r="CT174" s="39"/>
      <c r="CU174" s="39"/>
      <c r="CV174" s="39"/>
      <c r="CW174" s="41"/>
      <c r="CX174" s="39"/>
      <c r="CY174" s="39"/>
      <c r="CZ174" s="41"/>
      <c r="DA174" s="41"/>
      <c r="DB174" s="41"/>
      <c r="DC174" s="41"/>
      <c r="DD174" s="39"/>
      <c r="DE174" s="39"/>
      <c r="DF174" s="41"/>
      <c r="DG174" s="41"/>
      <c r="DH174" s="41"/>
      <c r="DI174" s="42"/>
      <c r="DJ174" s="43">
        <v>0.01</v>
      </c>
      <c r="DK174" s="43">
        <f t="shared" si="296"/>
        <v>0.5</v>
      </c>
      <c r="EK174" s="590" t="s">
        <v>437</v>
      </c>
    </row>
    <row r="175" spans="24:150" s="30" customFormat="1" ht="15.75" thickBot="1">
      <c r="X175" s="67"/>
      <c r="AB175" s="68"/>
      <c r="AD175" s="71"/>
      <c r="AE175" s="71"/>
      <c r="AG175" s="71"/>
      <c r="AH175" s="73"/>
      <c r="AJ175" s="74"/>
      <c r="AL175" s="78"/>
      <c r="AM175" s="78"/>
      <c r="AO175" s="71"/>
      <c r="AR175" s="74"/>
      <c r="AW175" s="71"/>
      <c r="AZ175" s="74"/>
      <c r="BB175" s="71"/>
      <c r="BD175" s="71"/>
      <c r="BG175" s="74"/>
      <c r="BI175" s="71"/>
      <c r="BK175" s="71"/>
      <c r="BN175" s="74"/>
      <c r="BP175" s="71"/>
      <c r="BQ175" s="71"/>
      <c r="BS175" s="71"/>
      <c r="BV175" s="74"/>
      <c r="BX175" s="71"/>
      <c r="BZ175" s="71"/>
      <c r="CC175" s="38"/>
      <c r="CD175" s="92" t="s">
        <v>438</v>
      </c>
      <c r="CE175" s="90" t="s">
        <v>330</v>
      </c>
      <c r="CF175" s="96">
        <v>3350</v>
      </c>
      <c r="CG175" s="90" t="s">
        <v>359</v>
      </c>
      <c r="CH175" s="98">
        <v>0.01</v>
      </c>
      <c r="CI175" s="98">
        <v>0.5</v>
      </c>
      <c r="CJ175" s="97" t="s">
        <v>360</v>
      </c>
      <c r="CK175" s="90"/>
      <c r="CL175" s="96"/>
      <c r="CM175" s="90"/>
      <c r="CN175" s="98"/>
      <c r="CO175" s="98"/>
      <c r="CP175" s="97"/>
      <c r="CQ175" s="29"/>
      <c r="CR175" s="29"/>
      <c r="CS175" s="29"/>
      <c r="CT175" s="29"/>
      <c r="CU175" s="29"/>
      <c r="CV175" s="29"/>
      <c r="CW175" s="29"/>
      <c r="CX175" s="29"/>
      <c r="CY175" s="29"/>
      <c r="CZ175" s="103"/>
      <c r="DA175" s="103"/>
      <c r="DB175" s="103"/>
      <c r="DC175" s="41"/>
      <c r="DD175" s="103"/>
      <c r="DE175" s="103"/>
      <c r="DF175" s="41"/>
      <c r="DG175" s="41"/>
      <c r="DH175" s="103"/>
      <c r="DI175" s="42"/>
      <c r="DJ175" s="43">
        <f t="shared" ref="DJ175" si="297">CH175</f>
        <v>0.01</v>
      </c>
      <c r="DK175" s="43">
        <f t="shared" si="296"/>
        <v>0.5</v>
      </c>
    </row>
    <row r="176" spans="24:150" s="30" customFormat="1">
      <c r="X176" s="67"/>
      <c r="AB176" s="68"/>
      <c r="AD176" s="71"/>
      <c r="AE176" s="71"/>
      <c r="AG176" s="71"/>
      <c r="AH176" s="73"/>
      <c r="AJ176" s="74"/>
      <c r="AL176" s="78"/>
      <c r="AM176" s="78"/>
      <c r="AO176" s="71"/>
      <c r="AR176" s="74"/>
      <c r="AW176" s="71"/>
      <c r="AZ176" s="74"/>
      <c r="BB176" s="71"/>
      <c r="BD176" s="71"/>
      <c r="BG176" s="74"/>
      <c r="BI176" s="71"/>
      <c r="BK176" s="71"/>
      <c r="BN176" s="74"/>
      <c r="BP176" s="71"/>
      <c r="BQ176" s="71"/>
      <c r="BS176" s="71"/>
      <c r="BV176" s="74"/>
      <c r="BX176" s="71"/>
      <c r="BZ176" s="71"/>
      <c r="CC176" s="38"/>
      <c r="CD176" s="29"/>
      <c r="CE176" s="39"/>
      <c r="CF176" s="39"/>
      <c r="CG176" s="39"/>
      <c r="CH176" s="40"/>
      <c r="CI176" s="40"/>
      <c r="CJ176" s="40"/>
      <c r="CK176" s="39"/>
      <c r="CL176" s="39"/>
      <c r="CM176" s="39"/>
      <c r="CN176" s="39"/>
      <c r="CO176" s="39"/>
      <c r="CP176" s="39"/>
      <c r="CQ176" s="41"/>
      <c r="CR176" s="39"/>
      <c r="CS176" s="39"/>
      <c r="CT176" s="41"/>
      <c r="CU176" s="41"/>
      <c r="CV176" s="41"/>
      <c r="CW176" s="39"/>
      <c r="CX176" s="39"/>
      <c r="CY176" s="39"/>
      <c r="CZ176" s="39"/>
      <c r="DA176" s="39"/>
      <c r="DB176" s="39"/>
      <c r="DC176" s="39"/>
      <c r="DD176" s="39"/>
      <c r="DE176" s="39"/>
      <c r="DF176" s="39"/>
      <c r="DG176" s="39"/>
      <c r="DH176" s="39"/>
      <c r="DI176" s="113"/>
      <c r="DJ176" s="43"/>
      <c r="DK176" s="43">
        <f t="shared" si="296"/>
        <v>0</v>
      </c>
    </row>
    <row r="177" spans="24:115" s="30" customFormat="1" ht="14.65" thickBot="1">
      <c r="X177" s="67"/>
      <c r="AB177" s="68"/>
      <c r="AD177" s="71"/>
      <c r="AE177" s="71"/>
      <c r="AG177" s="71"/>
      <c r="AH177" s="73"/>
      <c r="AJ177" s="74"/>
      <c r="AL177" s="78"/>
      <c r="AM177" s="78"/>
      <c r="AO177" s="71"/>
      <c r="AR177" s="74"/>
      <c r="AW177" s="71"/>
      <c r="AZ177" s="74"/>
      <c r="BB177" s="71"/>
      <c r="BD177" s="71"/>
      <c r="BG177" s="74"/>
      <c r="BI177" s="71"/>
      <c r="BK177" s="71"/>
      <c r="BN177" s="74"/>
      <c r="BP177" s="71"/>
      <c r="BQ177" s="71"/>
      <c r="BS177" s="71"/>
      <c r="BV177" s="74"/>
      <c r="BX177" s="71"/>
      <c r="BZ177" s="71"/>
      <c r="CC177" s="38"/>
      <c r="CD177" s="29"/>
      <c r="CE177" s="39"/>
      <c r="CF177" s="39"/>
      <c r="CG177" s="39"/>
      <c r="CH177" s="40"/>
      <c r="CI177" s="40"/>
      <c r="CJ177" s="40"/>
      <c r="CK177" s="39"/>
      <c r="CL177" s="39"/>
      <c r="CM177" s="39"/>
      <c r="CN177" s="39"/>
      <c r="CO177" s="39"/>
      <c r="CP177" s="39"/>
      <c r="CQ177" s="41"/>
      <c r="CR177" s="39"/>
      <c r="CS177" s="39"/>
      <c r="CT177" s="41"/>
      <c r="CU177" s="41"/>
      <c r="CV177" s="41"/>
      <c r="CW177" s="39"/>
      <c r="CX177" s="39"/>
      <c r="CY177" s="39"/>
      <c r="CZ177" s="39"/>
      <c r="DA177" s="39"/>
      <c r="DB177" s="39"/>
      <c r="DC177" s="39"/>
      <c r="DD177" s="39"/>
      <c r="DE177" s="39"/>
      <c r="DF177" s="39"/>
      <c r="DG177" s="39"/>
      <c r="DH177" s="39"/>
      <c r="DI177" s="113"/>
      <c r="DJ177" s="43"/>
      <c r="DK177" s="43">
        <f t="shared" si="296"/>
        <v>0</v>
      </c>
    </row>
    <row r="178" spans="24:115" s="30" customFormat="1">
      <c r="X178" s="67"/>
      <c r="AB178" s="68"/>
      <c r="AD178" s="71"/>
      <c r="AE178" s="71"/>
      <c r="AG178" s="71"/>
      <c r="AH178" s="73"/>
      <c r="AJ178" s="74"/>
      <c r="AL178" s="78"/>
      <c r="AM178" s="78"/>
      <c r="AO178" s="71"/>
      <c r="AR178" s="74"/>
      <c r="AW178" s="71"/>
      <c r="AZ178" s="74"/>
      <c r="BB178" s="71"/>
      <c r="BD178" s="71"/>
      <c r="BG178" s="74"/>
      <c r="BI178" s="71"/>
      <c r="BK178" s="71"/>
      <c r="BN178" s="74"/>
      <c r="BP178" s="71"/>
      <c r="BQ178" s="71"/>
      <c r="BS178" s="71"/>
      <c r="BV178" s="74"/>
      <c r="BX178" s="71"/>
      <c r="BZ178" s="71"/>
      <c r="CC178" s="38"/>
      <c r="CD178" s="710" t="s">
        <v>439</v>
      </c>
      <c r="CE178" s="85"/>
      <c r="CF178" s="710" t="s">
        <v>250</v>
      </c>
      <c r="CG178" s="85"/>
      <c r="CH178" s="710" t="s">
        <v>181</v>
      </c>
      <c r="CI178" s="710" t="s">
        <v>181</v>
      </c>
      <c r="CJ178" s="710" t="s">
        <v>182</v>
      </c>
      <c r="CK178" s="39"/>
      <c r="CL178" s="39"/>
      <c r="CM178" s="39"/>
      <c r="CN178" s="39"/>
      <c r="CO178" s="39"/>
      <c r="CP178" s="39"/>
      <c r="CQ178" s="41"/>
      <c r="CR178" s="39"/>
      <c r="CS178" s="39"/>
      <c r="CT178" s="41"/>
      <c r="CU178" s="41"/>
      <c r="CV178" s="41"/>
      <c r="CW178" s="100"/>
      <c r="CX178" s="39"/>
      <c r="CY178" s="39"/>
      <c r="CZ178" s="100"/>
      <c r="DA178" s="100"/>
      <c r="DB178" s="100"/>
      <c r="DC178" s="100"/>
      <c r="DD178" s="39"/>
      <c r="DE178" s="39"/>
      <c r="DF178" s="100"/>
      <c r="DG178" s="100"/>
      <c r="DH178" s="100"/>
      <c r="DI178" s="113"/>
      <c r="DJ178" s="43"/>
      <c r="DK178" s="43" t="str">
        <f t="shared" si="296"/>
        <v>Incertidumbre (+/- %)</v>
      </c>
    </row>
    <row r="179" spans="24:115" s="30" customFormat="1" ht="49.5" customHeight="1" thickBot="1">
      <c r="X179" s="67"/>
      <c r="AB179" s="68"/>
      <c r="AD179" s="71"/>
      <c r="AE179" s="71"/>
      <c r="AG179" s="71"/>
      <c r="AH179" s="73"/>
      <c r="AJ179" s="74"/>
      <c r="AL179" s="78"/>
      <c r="AM179" s="78"/>
      <c r="AO179" s="71"/>
      <c r="AR179" s="74"/>
      <c r="AW179" s="71"/>
      <c r="AZ179" s="74"/>
      <c r="BB179" s="71"/>
      <c r="BD179" s="71"/>
      <c r="BG179" s="74"/>
      <c r="BI179" s="71"/>
      <c r="BK179" s="71"/>
      <c r="BN179" s="74"/>
      <c r="BP179" s="71"/>
      <c r="BQ179" s="71"/>
      <c r="BS179" s="71"/>
      <c r="BV179" s="74"/>
      <c r="BX179" s="71"/>
      <c r="BZ179" s="71"/>
      <c r="CC179" s="38"/>
      <c r="CD179" s="711"/>
      <c r="CE179" s="87" t="s">
        <v>193</v>
      </c>
      <c r="CF179" s="711"/>
      <c r="CG179" s="87" t="s">
        <v>194</v>
      </c>
      <c r="CH179" s="711"/>
      <c r="CI179" s="711"/>
      <c r="CJ179" s="711"/>
      <c r="CK179" s="39"/>
      <c r="CL179" s="39"/>
      <c r="CM179" s="39"/>
      <c r="CN179" s="39"/>
      <c r="CO179" s="39"/>
      <c r="CP179" s="39"/>
      <c r="CQ179" s="41"/>
      <c r="CR179" s="39"/>
      <c r="CS179" s="39"/>
      <c r="CT179" s="41"/>
      <c r="CU179" s="41"/>
      <c r="CV179" s="41"/>
      <c r="CW179" s="100"/>
      <c r="CX179" s="39"/>
      <c r="CY179" s="39"/>
      <c r="CZ179" s="100"/>
      <c r="DA179" s="100"/>
      <c r="DB179" s="100"/>
      <c r="DC179" s="100"/>
      <c r="DD179" s="39"/>
      <c r="DE179" s="39"/>
      <c r="DF179" s="100"/>
      <c r="DG179" s="100"/>
      <c r="DH179" s="100"/>
      <c r="DI179" s="113"/>
      <c r="DJ179" s="43"/>
      <c r="DK179" s="43">
        <f t="shared" si="296"/>
        <v>0</v>
      </c>
    </row>
    <row r="180" spans="24:115" s="30" customFormat="1" ht="15.75" thickBot="1">
      <c r="X180" s="67"/>
      <c r="AB180" s="68"/>
      <c r="AD180" s="71"/>
      <c r="AE180" s="71"/>
      <c r="AG180" s="71"/>
      <c r="AH180" s="73"/>
      <c r="AJ180" s="74"/>
      <c r="AL180" s="78"/>
      <c r="AM180" s="78"/>
      <c r="AO180" s="71"/>
      <c r="AR180" s="74"/>
      <c r="AW180" s="71"/>
      <c r="AZ180" s="74"/>
      <c r="BB180" s="71"/>
      <c r="BD180" s="71"/>
      <c r="BG180" s="74"/>
      <c r="BI180" s="71"/>
      <c r="BK180" s="71"/>
      <c r="BN180" s="74"/>
      <c r="BP180" s="71"/>
      <c r="BQ180" s="71"/>
      <c r="BS180" s="71"/>
      <c r="BV180" s="74"/>
      <c r="BX180" s="71"/>
      <c r="BZ180" s="71"/>
      <c r="CC180" s="38"/>
      <c r="CD180" s="92" t="s">
        <v>440</v>
      </c>
      <c r="CE180" s="90" t="s">
        <v>261</v>
      </c>
      <c r="CF180" s="96">
        <f>20*0.2*(44/12)*40.2/1000*0.7</f>
        <v>0.41271999999999998</v>
      </c>
      <c r="CG180" s="90" t="s">
        <v>441</v>
      </c>
      <c r="CH180" s="98">
        <v>0.01</v>
      </c>
      <c r="CI180" s="98">
        <v>0.5</v>
      </c>
      <c r="CJ180" s="97" t="s">
        <v>442</v>
      </c>
      <c r="CK180" s="39"/>
      <c r="CL180" s="39"/>
      <c r="CM180" s="39"/>
      <c r="CN180" s="39"/>
      <c r="CO180" s="39"/>
      <c r="CP180" s="39"/>
      <c r="CQ180" s="41"/>
      <c r="CR180" s="39"/>
      <c r="CS180" s="39"/>
      <c r="CT180" s="41"/>
      <c r="CU180" s="41"/>
      <c r="CV180" s="41"/>
      <c r="CW180" s="41"/>
      <c r="CX180" s="39"/>
      <c r="CY180" s="39"/>
      <c r="CZ180" s="41"/>
      <c r="DA180" s="41"/>
      <c r="DB180" s="41"/>
      <c r="DC180" s="41"/>
      <c r="DD180" s="39"/>
      <c r="DE180" s="39"/>
      <c r="DF180" s="41"/>
      <c r="DG180" s="41"/>
      <c r="DH180" s="41"/>
      <c r="DI180" s="42"/>
      <c r="DJ180" s="43">
        <v>0.15</v>
      </c>
      <c r="DK180" s="43">
        <f t="shared" si="296"/>
        <v>0.5</v>
      </c>
    </row>
    <row r="181" spans="24:115" s="30" customFormat="1" ht="15.75" thickBot="1">
      <c r="X181" s="67"/>
      <c r="AB181" s="68"/>
      <c r="AD181" s="71"/>
      <c r="AE181" s="71"/>
      <c r="AG181" s="71"/>
      <c r="AH181" s="73"/>
      <c r="AJ181" s="74"/>
      <c r="AL181" s="78"/>
      <c r="AM181" s="78"/>
      <c r="AO181" s="71"/>
      <c r="AR181" s="74"/>
      <c r="AW181" s="71"/>
      <c r="AZ181" s="74"/>
      <c r="BB181" s="71"/>
      <c r="BD181" s="71"/>
      <c r="BG181" s="74"/>
      <c r="BI181" s="71"/>
      <c r="BK181" s="71"/>
      <c r="BN181" s="74"/>
      <c r="BP181" s="71"/>
      <c r="BQ181" s="71"/>
      <c r="BS181" s="71"/>
      <c r="BV181" s="74"/>
      <c r="BX181" s="71"/>
      <c r="BZ181" s="71"/>
      <c r="CC181" s="38"/>
      <c r="CD181" s="92" t="s">
        <v>443</v>
      </c>
      <c r="CE181" s="90" t="s">
        <v>330</v>
      </c>
      <c r="CF181" s="96">
        <f>20*0.2*(44/12)*40.2/1000</f>
        <v>0.58960000000000001</v>
      </c>
      <c r="CG181" s="90" t="s">
        <v>436</v>
      </c>
      <c r="CH181" s="98">
        <v>0.01</v>
      </c>
      <c r="CI181" s="98">
        <v>0.5</v>
      </c>
      <c r="CJ181" s="97" t="s">
        <v>442</v>
      </c>
      <c r="CK181" s="39"/>
      <c r="CL181" s="39"/>
      <c r="CM181" s="39"/>
      <c r="CN181" s="39"/>
      <c r="CO181" s="39"/>
      <c r="CP181" s="39"/>
      <c r="CQ181" s="41"/>
      <c r="CR181" s="39"/>
      <c r="CS181" s="39"/>
      <c r="CT181" s="41"/>
      <c r="CU181" s="41"/>
      <c r="CV181" s="41"/>
      <c r="CW181" s="41"/>
      <c r="CX181" s="39"/>
      <c r="CY181" s="39"/>
      <c r="CZ181" s="41"/>
      <c r="DA181" s="41"/>
      <c r="DB181" s="41"/>
      <c r="DC181" s="41"/>
      <c r="DD181" s="39"/>
      <c r="DE181" s="39"/>
      <c r="DF181" s="41"/>
      <c r="DG181" s="41"/>
      <c r="DH181" s="41"/>
      <c r="DI181" s="42"/>
      <c r="DJ181" s="43">
        <v>0.15</v>
      </c>
      <c r="DK181" s="43">
        <f t="shared" si="296"/>
        <v>0.5</v>
      </c>
    </row>
    <row r="182" spans="24:115" s="30" customFormat="1">
      <c r="X182" s="67"/>
      <c r="AB182" s="68"/>
      <c r="AD182" s="71"/>
      <c r="AE182" s="71"/>
      <c r="AG182" s="71"/>
      <c r="AH182" s="73"/>
      <c r="AJ182" s="74"/>
      <c r="AL182" s="78"/>
      <c r="AM182" s="78"/>
      <c r="AO182" s="71"/>
      <c r="AR182" s="74"/>
      <c r="AW182" s="71"/>
      <c r="AZ182" s="74"/>
      <c r="BB182" s="71"/>
      <c r="BD182" s="71"/>
      <c r="BG182" s="74"/>
      <c r="BI182" s="71"/>
      <c r="BK182" s="71"/>
      <c r="BN182" s="74"/>
      <c r="BP182" s="71"/>
      <c r="BQ182" s="71"/>
      <c r="BS182" s="71"/>
      <c r="BV182" s="74"/>
      <c r="BX182" s="71"/>
      <c r="BZ182" s="71"/>
      <c r="CC182" s="38"/>
      <c r="CD182" s="29"/>
      <c r="CE182" s="39"/>
      <c r="CF182" s="39"/>
      <c r="CG182" s="39"/>
      <c r="CH182" s="40"/>
      <c r="CI182" s="40"/>
      <c r="CJ182" s="40"/>
      <c r="CK182" s="39"/>
      <c r="CL182" s="39"/>
      <c r="CM182" s="39"/>
      <c r="CN182" s="39"/>
      <c r="CO182" s="39"/>
      <c r="CP182" s="39"/>
      <c r="CQ182" s="41"/>
      <c r="CR182" s="39"/>
      <c r="CS182" s="39"/>
      <c r="CT182" s="41"/>
      <c r="CU182" s="41"/>
      <c r="CV182" s="41"/>
      <c r="CW182" s="41"/>
      <c r="CX182" s="39"/>
      <c r="CY182" s="39"/>
      <c r="CZ182" s="41"/>
      <c r="DA182" s="41"/>
      <c r="DB182" s="41"/>
      <c r="DC182" s="41"/>
      <c r="DD182" s="39"/>
      <c r="DE182" s="39"/>
      <c r="DF182" s="41"/>
      <c r="DG182" s="41"/>
      <c r="DH182" s="41"/>
      <c r="DI182" s="42"/>
      <c r="DJ182" s="43"/>
      <c r="DK182" s="43">
        <f t="shared" si="296"/>
        <v>0</v>
      </c>
    </row>
    <row r="183" spans="24:115" s="30" customFormat="1" ht="14.65" thickBot="1">
      <c r="X183" s="67"/>
      <c r="AB183" s="68"/>
      <c r="AD183" s="71"/>
      <c r="AE183" s="71"/>
      <c r="AG183" s="71"/>
      <c r="AH183" s="73"/>
      <c r="AJ183" s="74"/>
      <c r="AL183" s="78"/>
      <c r="AM183" s="78"/>
      <c r="AO183" s="71"/>
      <c r="AR183" s="74"/>
      <c r="AW183" s="71"/>
      <c r="AZ183" s="74"/>
      <c r="BB183" s="71"/>
      <c r="BD183" s="71"/>
      <c r="BG183" s="74"/>
      <c r="BI183" s="71"/>
      <c r="BK183" s="71"/>
      <c r="BN183" s="74"/>
      <c r="BP183" s="71"/>
      <c r="BQ183" s="71"/>
      <c r="BS183" s="71"/>
      <c r="BV183" s="74"/>
      <c r="BX183" s="71"/>
      <c r="BZ183" s="71"/>
      <c r="CC183" s="38"/>
      <c r="CD183" s="29"/>
      <c r="CE183" s="39"/>
      <c r="CF183" s="39"/>
      <c r="CG183" s="39"/>
      <c r="CH183" s="40"/>
      <c r="CI183" s="40"/>
      <c r="CJ183" s="40"/>
      <c r="CK183" s="39"/>
      <c r="CL183" s="39"/>
      <c r="CM183" s="39"/>
      <c r="CN183" s="39"/>
      <c r="CO183" s="39"/>
      <c r="CP183" s="39"/>
      <c r="CQ183" s="41"/>
      <c r="CR183" s="39"/>
      <c r="CS183" s="39"/>
      <c r="CT183" s="41"/>
      <c r="CU183" s="41"/>
      <c r="CV183" s="41"/>
      <c r="CW183" s="41"/>
      <c r="CX183" s="39"/>
      <c r="CY183" s="39"/>
      <c r="CZ183" s="41"/>
      <c r="DA183" s="41"/>
      <c r="DB183" s="41"/>
      <c r="DC183" s="41"/>
      <c r="DD183" s="39"/>
      <c r="DE183" s="39"/>
      <c r="DF183" s="41"/>
      <c r="DG183" s="41"/>
      <c r="DH183" s="41"/>
      <c r="DI183" s="42"/>
      <c r="DJ183" s="43"/>
      <c r="DK183" s="43">
        <f t="shared" si="296"/>
        <v>0</v>
      </c>
    </row>
    <row r="184" spans="24:115" s="30" customFormat="1">
      <c r="X184" s="67"/>
      <c r="AB184" s="68"/>
      <c r="AD184" s="71"/>
      <c r="AE184" s="71"/>
      <c r="AG184" s="71"/>
      <c r="AH184" s="73"/>
      <c r="AJ184" s="74"/>
      <c r="AL184" s="78"/>
      <c r="AM184" s="78"/>
      <c r="AO184" s="71"/>
      <c r="AR184" s="74"/>
      <c r="AW184" s="71"/>
      <c r="AZ184" s="74"/>
      <c r="BB184" s="71"/>
      <c r="BD184" s="71"/>
      <c r="BG184" s="74"/>
      <c r="BI184" s="71"/>
      <c r="BK184" s="71"/>
      <c r="BN184" s="74"/>
      <c r="BP184" s="71"/>
      <c r="BQ184" s="71"/>
      <c r="BS184" s="71"/>
      <c r="BV184" s="74"/>
      <c r="BX184" s="71"/>
      <c r="BZ184" s="71"/>
      <c r="CC184" s="38"/>
      <c r="CD184" s="710" t="s">
        <v>444</v>
      </c>
      <c r="CE184" s="85"/>
      <c r="CF184" s="710" t="s">
        <v>350</v>
      </c>
      <c r="CG184" s="85"/>
      <c r="CH184" s="710" t="s">
        <v>181</v>
      </c>
      <c r="CI184" s="710" t="s">
        <v>181</v>
      </c>
      <c r="CJ184" s="710" t="s">
        <v>182</v>
      </c>
      <c r="CK184" s="39"/>
      <c r="CL184" s="39"/>
      <c r="CM184" s="39"/>
      <c r="CN184" s="39"/>
      <c r="CO184" s="39"/>
      <c r="CP184" s="39"/>
      <c r="CQ184" s="41"/>
      <c r="CR184" s="39"/>
      <c r="CS184" s="39"/>
      <c r="CT184" s="41"/>
      <c r="CU184" s="41"/>
      <c r="CV184" s="41"/>
      <c r="CW184" s="41"/>
      <c r="CX184" s="39"/>
      <c r="CY184" s="39"/>
      <c r="CZ184" s="41"/>
      <c r="DA184" s="41"/>
      <c r="DB184" s="41"/>
      <c r="DC184" s="41"/>
      <c r="DD184" s="39"/>
      <c r="DE184" s="39"/>
      <c r="DF184" s="41"/>
      <c r="DG184" s="41"/>
      <c r="DH184" s="41"/>
      <c r="DI184" s="42"/>
      <c r="DJ184" s="43"/>
      <c r="DK184" s="43" t="str">
        <f t="shared" si="296"/>
        <v>Incertidumbre (+/- %)</v>
      </c>
    </row>
    <row r="185" spans="24:115" s="30" customFormat="1" ht="41.25" customHeight="1" thickBot="1">
      <c r="X185" s="67"/>
      <c r="AB185" s="68"/>
      <c r="AD185" s="71"/>
      <c r="AE185" s="71"/>
      <c r="AG185" s="71"/>
      <c r="AH185" s="73"/>
      <c r="AJ185" s="74"/>
      <c r="AL185" s="78"/>
      <c r="AM185" s="78"/>
      <c r="AO185" s="71"/>
      <c r="AR185" s="74"/>
      <c r="AW185" s="71"/>
      <c r="AZ185" s="74"/>
      <c r="BB185" s="71"/>
      <c r="BD185" s="71"/>
      <c r="BG185" s="74"/>
      <c r="BI185" s="71"/>
      <c r="BK185" s="71"/>
      <c r="BN185" s="74"/>
      <c r="BP185" s="71"/>
      <c r="BQ185" s="71"/>
      <c r="BS185" s="71"/>
      <c r="BV185" s="74"/>
      <c r="BX185" s="71"/>
      <c r="BZ185" s="71"/>
      <c r="CC185" s="38"/>
      <c r="CD185" s="711"/>
      <c r="CE185" s="87" t="s">
        <v>193</v>
      </c>
      <c r="CF185" s="711"/>
      <c r="CG185" s="87" t="s">
        <v>194</v>
      </c>
      <c r="CH185" s="711"/>
      <c r="CI185" s="711"/>
      <c r="CJ185" s="711"/>
      <c r="CK185" s="39"/>
      <c r="CL185" s="39"/>
      <c r="CM185" s="39"/>
      <c r="CN185" s="39"/>
      <c r="CO185" s="39"/>
      <c r="CP185" s="39"/>
      <c r="CQ185" s="41"/>
      <c r="CR185" s="39"/>
      <c r="CS185" s="39"/>
      <c r="CT185" s="41"/>
      <c r="CU185" s="41"/>
      <c r="CV185" s="41"/>
      <c r="CW185" s="41"/>
      <c r="CX185" s="39"/>
      <c r="CY185" s="39"/>
      <c r="CZ185" s="41"/>
      <c r="DA185" s="41"/>
      <c r="DB185" s="41"/>
      <c r="DC185" s="41"/>
      <c r="DD185" s="39"/>
      <c r="DE185" s="39"/>
      <c r="DF185" s="41"/>
      <c r="DG185" s="41"/>
      <c r="DH185" s="41"/>
      <c r="DI185" s="42"/>
      <c r="DJ185" s="43"/>
      <c r="DK185" s="43">
        <f t="shared" si="296"/>
        <v>0</v>
      </c>
    </row>
    <row r="186" spans="24:115" s="30" customFormat="1" ht="15.75" thickBot="1">
      <c r="X186" s="67"/>
      <c r="AB186" s="68"/>
      <c r="AD186" s="71"/>
      <c r="AE186" s="71"/>
      <c r="AG186" s="71"/>
      <c r="AH186" s="73"/>
      <c r="AJ186" s="74"/>
      <c r="AL186" s="78"/>
      <c r="AM186" s="78"/>
      <c r="AO186" s="71"/>
      <c r="AR186" s="74"/>
      <c r="AW186" s="71"/>
      <c r="AZ186" s="74"/>
      <c r="BB186" s="71"/>
      <c r="BD186" s="71"/>
      <c r="BG186" s="74"/>
      <c r="BI186" s="71"/>
      <c r="BK186" s="71"/>
      <c r="BN186" s="74"/>
      <c r="BP186" s="71"/>
      <c r="BQ186" s="71"/>
      <c r="BS186" s="71"/>
      <c r="BV186" s="74"/>
      <c r="BX186" s="71"/>
      <c r="BZ186" s="71"/>
      <c r="CC186" s="38"/>
      <c r="CD186" s="92" t="s">
        <v>445</v>
      </c>
      <c r="CE186" s="90" t="s">
        <v>330</v>
      </c>
      <c r="CF186" s="96">
        <v>1</v>
      </c>
      <c r="CG186" s="90" t="s">
        <v>436</v>
      </c>
      <c r="CH186" s="98">
        <v>0.01</v>
      </c>
      <c r="CI186" s="98">
        <v>0.5</v>
      </c>
      <c r="CJ186" s="97" t="s">
        <v>360</v>
      </c>
      <c r="CK186" s="39"/>
      <c r="CL186" s="39"/>
      <c r="CM186" s="39"/>
      <c r="CN186" s="39"/>
      <c r="CO186" s="39"/>
      <c r="CP186" s="39"/>
      <c r="CQ186" s="41"/>
      <c r="CR186" s="39"/>
      <c r="CS186" s="39"/>
      <c r="CT186" s="41"/>
      <c r="CU186" s="41"/>
      <c r="CV186" s="41"/>
      <c r="CW186" s="41"/>
      <c r="CX186" s="39"/>
      <c r="CY186" s="39"/>
      <c r="CZ186" s="41"/>
      <c r="DA186" s="41"/>
      <c r="DB186" s="41"/>
      <c r="DC186" s="41"/>
      <c r="DD186" s="39"/>
      <c r="DE186" s="39"/>
      <c r="DF186" s="41"/>
      <c r="DG186" s="41"/>
      <c r="DH186" s="41"/>
      <c r="DI186" s="42"/>
      <c r="DJ186" s="43">
        <v>0.01</v>
      </c>
      <c r="DK186" s="43">
        <f t="shared" si="296"/>
        <v>0.5</v>
      </c>
    </row>
    <row r="187" spans="24:115" s="30" customFormat="1">
      <c r="X187" s="67"/>
      <c r="AB187" s="68"/>
      <c r="AD187" s="71"/>
      <c r="AE187" s="71"/>
      <c r="AG187" s="71"/>
      <c r="AH187" s="73"/>
      <c r="AJ187" s="74"/>
      <c r="AL187" s="78"/>
      <c r="AM187" s="78"/>
      <c r="AO187" s="71"/>
      <c r="AR187" s="74"/>
      <c r="AW187" s="71"/>
      <c r="AZ187" s="74"/>
      <c r="BB187" s="71"/>
      <c r="BD187" s="71"/>
      <c r="BG187" s="74"/>
      <c r="BI187" s="71"/>
      <c r="BK187" s="71"/>
      <c r="BN187" s="74"/>
      <c r="BP187" s="71"/>
      <c r="BQ187" s="71"/>
      <c r="BS187" s="71"/>
      <c r="BV187" s="74"/>
      <c r="BX187" s="71"/>
      <c r="BZ187" s="71"/>
      <c r="CC187" s="38"/>
      <c r="CD187" s="108"/>
      <c r="CE187" s="109"/>
      <c r="CF187" s="109"/>
      <c r="CG187" s="109"/>
      <c r="CH187" s="112"/>
      <c r="CI187" s="112"/>
      <c r="CJ187" s="112"/>
      <c r="CK187" s="39"/>
      <c r="CL187" s="39"/>
      <c r="CM187" s="39"/>
      <c r="CN187" s="39"/>
      <c r="CO187" s="39"/>
      <c r="CP187" s="39"/>
      <c r="CQ187" s="41"/>
      <c r="CR187" s="39"/>
      <c r="CS187" s="39"/>
      <c r="CT187" s="41"/>
      <c r="CU187" s="41"/>
      <c r="CV187" s="41"/>
      <c r="CW187" s="41"/>
      <c r="CX187" s="39"/>
      <c r="CY187" s="39"/>
      <c r="CZ187" s="41"/>
      <c r="DA187" s="41"/>
      <c r="DB187" s="41"/>
      <c r="DC187" s="41"/>
      <c r="DD187" s="39"/>
      <c r="DE187" s="39"/>
      <c r="DF187" s="41"/>
      <c r="DG187" s="41"/>
      <c r="DH187" s="41"/>
      <c r="DI187" s="42"/>
      <c r="DJ187" s="43"/>
      <c r="DK187" s="43">
        <f t="shared" si="296"/>
        <v>0</v>
      </c>
    </row>
    <row r="188" spans="24:115" s="30" customFormat="1" ht="14.65" thickBot="1">
      <c r="X188" s="67"/>
      <c r="AB188" s="68"/>
      <c r="AD188" s="71"/>
      <c r="AE188" s="71"/>
      <c r="AG188" s="71"/>
      <c r="AH188" s="73"/>
      <c r="AJ188" s="74"/>
      <c r="AL188" s="78"/>
      <c r="AM188" s="78"/>
      <c r="AO188" s="71"/>
      <c r="AR188" s="74"/>
      <c r="AW188" s="71"/>
      <c r="AZ188" s="74"/>
      <c r="BB188" s="71"/>
      <c r="BD188" s="71"/>
      <c r="BG188" s="74"/>
      <c r="BI188" s="71"/>
      <c r="BK188" s="71"/>
      <c r="BN188" s="74"/>
      <c r="BP188" s="71"/>
      <c r="BQ188" s="71"/>
      <c r="BS188" s="71"/>
      <c r="BV188" s="74"/>
      <c r="BX188" s="71"/>
      <c r="BZ188" s="71"/>
      <c r="CC188" s="38"/>
      <c r="CD188" s="108"/>
      <c r="CE188" s="109"/>
      <c r="CF188" s="109"/>
      <c r="CG188" s="109"/>
      <c r="CH188" s="112"/>
      <c r="CI188" s="112"/>
      <c r="CJ188" s="112"/>
      <c r="CK188" s="39"/>
      <c r="CL188" s="39"/>
      <c r="CM188" s="39"/>
      <c r="CN188" s="39"/>
      <c r="CO188" s="39"/>
      <c r="CP188" s="39"/>
      <c r="CQ188" s="41"/>
      <c r="CR188" s="39"/>
      <c r="CS188" s="39"/>
      <c r="CT188" s="41"/>
      <c r="CU188" s="41"/>
      <c r="CV188" s="41"/>
      <c r="CW188" s="41"/>
      <c r="CX188" s="39"/>
      <c r="CY188" s="39"/>
      <c r="CZ188" s="41"/>
      <c r="DA188" s="41"/>
      <c r="DB188" s="41"/>
      <c r="DC188" s="41"/>
      <c r="DD188" s="39"/>
      <c r="DE188" s="39"/>
      <c r="DF188" s="41"/>
      <c r="DG188" s="41"/>
      <c r="DH188" s="41"/>
      <c r="DI188" s="42"/>
      <c r="DJ188" s="43"/>
      <c r="DK188" s="43">
        <f t="shared" si="296"/>
        <v>0</v>
      </c>
    </row>
    <row r="189" spans="24:115" s="30" customFormat="1">
      <c r="X189" s="67"/>
      <c r="AB189" s="68"/>
      <c r="AD189" s="71"/>
      <c r="AE189" s="71"/>
      <c r="AG189" s="71"/>
      <c r="AH189" s="73"/>
      <c r="AJ189" s="74"/>
      <c r="AL189" s="78"/>
      <c r="AM189" s="78"/>
      <c r="AO189" s="71"/>
      <c r="AR189" s="74"/>
      <c r="AW189" s="71"/>
      <c r="AZ189" s="74"/>
      <c r="BB189" s="71"/>
      <c r="BD189" s="71"/>
      <c r="BG189" s="74"/>
      <c r="BI189" s="71"/>
      <c r="BK189" s="71"/>
      <c r="BN189" s="74"/>
      <c r="BP189" s="71"/>
      <c r="BQ189" s="71"/>
      <c r="BS189" s="71"/>
      <c r="BV189" s="74"/>
      <c r="BX189" s="71"/>
      <c r="BZ189" s="71"/>
      <c r="CC189" s="38"/>
      <c r="CD189" s="710" t="s">
        <v>446</v>
      </c>
      <c r="CE189" s="85"/>
      <c r="CF189" s="710" t="s">
        <v>350</v>
      </c>
      <c r="CG189" s="85"/>
      <c r="CH189" s="710" t="s">
        <v>181</v>
      </c>
      <c r="CI189" s="710" t="s">
        <v>181</v>
      </c>
      <c r="CJ189" s="710" t="s">
        <v>182</v>
      </c>
      <c r="CK189" s="85"/>
      <c r="CL189" s="710" t="s">
        <v>350</v>
      </c>
      <c r="CM189" s="85"/>
      <c r="CN189" s="710" t="s">
        <v>181</v>
      </c>
      <c r="CO189" s="710" t="s">
        <v>181</v>
      </c>
      <c r="CP189" s="710" t="s">
        <v>182</v>
      </c>
      <c r="CQ189" s="41"/>
      <c r="CR189" s="39"/>
      <c r="CS189" s="39"/>
      <c r="CT189" s="41"/>
      <c r="CU189" s="41"/>
      <c r="CV189" s="41"/>
      <c r="CW189" s="41"/>
      <c r="CX189" s="39"/>
      <c r="CY189" s="39"/>
      <c r="CZ189" s="41"/>
      <c r="DA189" s="41"/>
      <c r="DB189" s="41"/>
      <c r="DC189" s="41"/>
      <c r="DD189" s="39"/>
      <c r="DE189" s="39"/>
      <c r="DF189" s="41"/>
      <c r="DG189" s="41"/>
      <c r="DH189" s="41"/>
      <c r="DI189" s="42"/>
      <c r="DJ189" s="43"/>
      <c r="DK189" s="43" t="str">
        <f t="shared" si="296"/>
        <v>Incertidumbre (+/- %)</v>
      </c>
    </row>
    <row r="190" spans="24:115" s="30" customFormat="1" ht="14.65" thickBot="1">
      <c r="X190" s="67"/>
      <c r="AB190" s="68"/>
      <c r="AD190" s="71"/>
      <c r="AE190" s="71"/>
      <c r="AG190" s="71"/>
      <c r="AH190" s="73"/>
      <c r="AJ190" s="74"/>
      <c r="AL190" s="78"/>
      <c r="AM190" s="78"/>
      <c r="AO190" s="71"/>
      <c r="AR190" s="74"/>
      <c r="AW190" s="71"/>
      <c r="AZ190" s="74"/>
      <c r="BB190" s="71"/>
      <c r="BD190" s="71"/>
      <c r="BG190" s="74"/>
      <c r="BI190" s="71"/>
      <c r="BK190" s="71"/>
      <c r="BN190" s="74"/>
      <c r="BP190" s="71"/>
      <c r="BQ190" s="71"/>
      <c r="BS190" s="71"/>
      <c r="BV190" s="74"/>
      <c r="BX190" s="71"/>
      <c r="BZ190" s="71"/>
      <c r="CC190" s="38"/>
      <c r="CD190" s="711"/>
      <c r="CE190" s="87" t="s">
        <v>193</v>
      </c>
      <c r="CF190" s="711"/>
      <c r="CG190" s="87" t="s">
        <v>194</v>
      </c>
      <c r="CH190" s="711"/>
      <c r="CI190" s="711"/>
      <c r="CJ190" s="711"/>
      <c r="CK190" s="87" t="s">
        <v>193</v>
      </c>
      <c r="CL190" s="711"/>
      <c r="CM190" s="87" t="s">
        <v>194</v>
      </c>
      <c r="CN190" s="711"/>
      <c r="CO190" s="711"/>
      <c r="CP190" s="711"/>
      <c r="CQ190" s="41"/>
      <c r="CR190" s="39"/>
      <c r="CS190" s="39"/>
      <c r="CT190" s="41"/>
      <c r="CU190" s="41"/>
      <c r="CV190" s="41"/>
      <c r="CW190" s="41"/>
      <c r="CX190" s="39"/>
      <c r="CY190" s="39"/>
      <c r="CZ190" s="41"/>
      <c r="DA190" s="41"/>
      <c r="DB190" s="41"/>
      <c r="DC190" s="41"/>
      <c r="DD190" s="39"/>
      <c r="DE190" s="39"/>
      <c r="DF190" s="41"/>
      <c r="DG190" s="41"/>
      <c r="DH190" s="41"/>
      <c r="DI190" s="42"/>
      <c r="DJ190" s="43"/>
      <c r="DK190" s="43">
        <f t="shared" si="296"/>
        <v>0</v>
      </c>
    </row>
    <row r="191" spans="24:115" s="30" customFormat="1" ht="15.75" thickBot="1">
      <c r="X191" s="67"/>
      <c r="AB191" s="68"/>
      <c r="AD191" s="71"/>
      <c r="AE191" s="71"/>
      <c r="AG191" s="71"/>
      <c r="AH191" s="73"/>
      <c r="AJ191" s="74"/>
      <c r="AL191" s="78"/>
      <c r="AM191" s="78"/>
      <c r="AO191" s="71"/>
      <c r="AR191" s="74"/>
      <c r="AW191" s="71"/>
      <c r="AZ191" s="74"/>
      <c r="BB191" s="71"/>
      <c r="BD191" s="71"/>
      <c r="BG191" s="74"/>
      <c r="BI191" s="71"/>
      <c r="BK191" s="71"/>
      <c r="BN191" s="74"/>
      <c r="BP191" s="71"/>
      <c r="BQ191" s="71"/>
      <c r="BS191" s="71"/>
      <c r="BV191" s="74"/>
      <c r="BX191" s="71"/>
      <c r="BZ191" s="71"/>
      <c r="CC191" s="38"/>
      <c r="CD191" s="92" t="s">
        <v>447</v>
      </c>
      <c r="CE191" s="90" t="s">
        <v>330</v>
      </c>
      <c r="CF191" s="96">
        <f>CE404</f>
        <v>23500</v>
      </c>
      <c r="CG191" s="90" t="s">
        <v>448</v>
      </c>
      <c r="CH191" s="98">
        <v>0.01</v>
      </c>
      <c r="CI191" s="98">
        <v>0.5</v>
      </c>
      <c r="CJ191" s="97" t="s">
        <v>360</v>
      </c>
      <c r="CK191" s="90" t="s">
        <v>330</v>
      </c>
      <c r="CL191" s="96">
        <v>22800</v>
      </c>
      <c r="CM191" s="90" t="s">
        <v>361</v>
      </c>
      <c r="CN191" s="98">
        <v>0.01</v>
      </c>
      <c r="CO191" s="98">
        <v>0.5</v>
      </c>
      <c r="CP191" s="97" t="s">
        <v>362</v>
      </c>
      <c r="CQ191" s="41"/>
      <c r="CR191" s="39"/>
      <c r="CS191" s="39"/>
      <c r="CT191" s="41"/>
      <c r="CU191" s="41"/>
      <c r="CV191" s="41"/>
      <c r="CW191" s="41"/>
      <c r="CX191" s="39"/>
      <c r="CY191" s="39"/>
      <c r="CZ191" s="41"/>
      <c r="DA191" s="41"/>
      <c r="DB191" s="41"/>
      <c r="DC191" s="41"/>
      <c r="DD191" s="39"/>
      <c r="DE191" s="39"/>
      <c r="DF191" s="41"/>
      <c r="DG191" s="41"/>
      <c r="DH191" s="41"/>
      <c r="DI191" s="42"/>
      <c r="DJ191" s="43">
        <v>0.01</v>
      </c>
      <c r="DK191" s="43">
        <f t="shared" si="296"/>
        <v>0.5</v>
      </c>
    </row>
    <row r="192" spans="24:115" s="30" customFormat="1">
      <c r="X192" s="67"/>
      <c r="AB192" s="68"/>
      <c r="AD192" s="71"/>
      <c r="AE192" s="71"/>
      <c r="AG192" s="71"/>
      <c r="AH192" s="73"/>
      <c r="AJ192" s="74"/>
      <c r="AL192" s="78"/>
      <c r="AM192" s="78"/>
      <c r="AO192" s="71"/>
      <c r="AR192" s="74"/>
      <c r="AW192" s="71"/>
      <c r="AZ192" s="74"/>
      <c r="BB192" s="71"/>
      <c r="BD192" s="71"/>
      <c r="BG192" s="74"/>
      <c r="BI192" s="71"/>
      <c r="BK192" s="71"/>
      <c r="BN192" s="74"/>
      <c r="BP192" s="71"/>
      <c r="BQ192" s="71"/>
      <c r="BS192" s="71"/>
      <c r="BV192" s="74"/>
      <c r="BX192" s="71"/>
      <c r="BZ192" s="71"/>
      <c r="CC192" s="38"/>
      <c r="CD192" s="108"/>
      <c r="CE192" s="109"/>
      <c r="CF192" s="109"/>
      <c r="CG192" s="109"/>
      <c r="CH192" s="112"/>
      <c r="CI192" s="112"/>
      <c r="CJ192" s="112"/>
      <c r="CK192" s="39"/>
      <c r="CL192" s="39"/>
      <c r="CM192" s="39"/>
      <c r="CN192" s="39"/>
      <c r="CO192" s="39"/>
      <c r="CP192" s="39"/>
      <c r="CQ192" s="41"/>
      <c r="CR192" s="39"/>
      <c r="CS192" s="39"/>
      <c r="CT192" s="41"/>
      <c r="CU192" s="41"/>
      <c r="CV192" s="41"/>
      <c r="CW192" s="41"/>
      <c r="CX192" s="39"/>
      <c r="CY192" s="39"/>
      <c r="CZ192" s="41"/>
      <c r="DA192" s="41"/>
      <c r="DB192" s="41"/>
      <c r="DC192" s="41"/>
      <c r="DD192" s="39"/>
      <c r="DE192" s="39"/>
      <c r="DF192" s="41"/>
      <c r="DG192" s="41"/>
      <c r="DH192" s="41"/>
      <c r="DI192" s="42"/>
      <c r="DJ192" s="43"/>
      <c r="DK192" s="43">
        <f t="shared" si="296"/>
        <v>0</v>
      </c>
    </row>
    <row r="193" spans="24:115" s="30" customFormat="1">
      <c r="X193" s="67"/>
      <c r="AB193" s="68"/>
      <c r="AD193" s="71"/>
      <c r="AE193" s="71"/>
      <c r="AG193" s="71"/>
      <c r="AH193" s="73"/>
      <c r="AJ193" s="74"/>
      <c r="AL193" s="78"/>
      <c r="AM193" s="78"/>
      <c r="AO193" s="71"/>
      <c r="AR193" s="74"/>
      <c r="AW193" s="71"/>
      <c r="AZ193" s="74"/>
      <c r="BB193" s="71"/>
      <c r="BD193" s="71"/>
      <c r="BG193" s="74"/>
      <c r="BI193" s="71"/>
      <c r="BK193" s="71"/>
      <c r="BN193" s="74"/>
      <c r="BP193" s="71"/>
      <c r="BQ193" s="71"/>
      <c r="BS193" s="71"/>
      <c r="BV193" s="74"/>
      <c r="BX193" s="71"/>
      <c r="BZ193" s="71"/>
      <c r="CC193" s="38"/>
      <c r="CD193" s="108"/>
      <c r="CE193" s="109"/>
      <c r="CF193" s="109"/>
      <c r="CG193" s="109"/>
      <c r="CH193" s="112"/>
      <c r="CI193" s="112"/>
      <c r="CJ193" s="112"/>
      <c r="CK193" s="39"/>
      <c r="CL193" s="39"/>
      <c r="CM193" s="39"/>
      <c r="CN193" s="39"/>
      <c r="CO193" s="39"/>
      <c r="CP193" s="39"/>
      <c r="CQ193" s="41"/>
      <c r="CR193" s="39"/>
      <c r="CS193" s="39"/>
      <c r="CT193" s="41"/>
      <c r="CU193" s="41"/>
      <c r="CV193" s="41"/>
      <c r="CW193" s="41"/>
      <c r="CX193" s="39"/>
      <c r="CY193" s="39"/>
      <c r="CZ193" s="41"/>
      <c r="DA193" s="41"/>
      <c r="DB193" s="41"/>
      <c r="DC193" s="41"/>
      <c r="DD193" s="39"/>
      <c r="DE193" s="39"/>
      <c r="DF193" s="41"/>
      <c r="DG193" s="41"/>
      <c r="DH193" s="41"/>
      <c r="DI193" s="42"/>
      <c r="DJ193" s="43"/>
      <c r="DK193" s="43">
        <f t="shared" si="296"/>
        <v>0</v>
      </c>
    </row>
    <row r="194" spans="24:115" s="30" customFormat="1">
      <c r="X194" s="67"/>
      <c r="AB194" s="68"/>
      <c r="AD194" s="71"/>
      <c r="AE194" s="71"/>
      <c r="AG194" s="71"/>
      <c r="AH194" s="73"/>
      <c r="AJ194" s="74"/>
      <c r="AL194" s="78"/>
      <c r="AM194" s="78"/>
      <c r="AO194" s="71"/>
      <c r="AR194" s="74"/>
      <c r="AW194" s="71"/>
      <c r="AZ194" s="74"/>
      <c r="BB194" s="71"/>
      <c r="BD194" s="71"/>
      <c r="BG194" s="74"/>
      <c r="BI194" s="71"/>
      <c r="BK194" s="71"/>
      <c r="BN194" s="74"/>
      <c r="BP194" s="71"/>
      <c r="BQ194" s="71"/>
      <c r="BS194" s="71"/>
      <c r="BV194" s="74"/>
      <c r="BX194" s="71"/>
      <c r="BZ194" s="71"/>
      <c r="CC194" s="38"/>
      <c r="CD194" s="108"/>
      <c r="CE194" s="109"/>
      <c r="CF194" s="109"/>
      <c r="CG194" s="109"/>
      <c r="CH194" s="112"/>
      <c r="CI194" s="112"/>
      <c r="CJ194" s="112"/>
      <c r="CK194" s="39"/>
      <c r="CL194" s="39"/>
      <c r="CM194" s="39"/>
      <c r="CN194" s="39"/>
      <c r="CO194" s="39"/>
      <c r="CP194" s="39"/>
      <c r="CQ194" s="41"/>
      <c r="CR194" s="39"/>
      <c r="CS194" s="39"/>
      <c r="CT194" s="41"/>
      <c r="CU194" s="41"/>
      <c r="CV194" s="41"/>
      <c r="CW194" s="41"/>
      <c r="CX194" s="39"/>
      <c r="CY194" s="39"/>
      <c r="CZ194" s="41"/>
      <c r="DA194" s="41"/>
      <c r="DB194" s="41"/>
      <c r="DC194" s="41"/>
      <c r="DD194" s="39"/>
      <c r="DE194" s="39"/>
      <c r="DF194" s="41"/>
      <c r="DG194" s="41"/>
      <c r="DH194" s="41"/>
      <c r="DI194" s="42"/>
      <c r="DJ194" s="43"/>
      <c r="DK194" s="43">
        <f t="shared" si="296"/>
        <v>0</v>
      </c>
    </row>
    <row r="195" spans="24:115" s="30" customFormat="1" ht="14.65" thickBot="1">
      <c r="X195" s="67"/>
      <c r="AB195" s="68"/>
      <c r="AD195" s="71"/>
      <c r="AE195" s="71"/>
      <c r="AG195" s="71"/>
      <c r="AH195" s="73"/>
      <c r="AJ195" s="74"/>
      <c r="AL195" s="78"/>
      <c r="AM195" s="78"/>
      <c r="AO195" s="71"/>
      <c r="AR195" s="74"/>
      <c r="AW195" s="71"/>
      <c r="AZ195" s="74"/>
      <c r="BB195" s="71"/>
      <c r="BD195" s="71"/>
      <c r="BG195" s="74"/>
      <c r="BI195" s="71"/>
      <c r="BK195" s="71"/>
      <c r="BN195" s="74"/>
      <c r="BP195" s="71"/>
      <c r="BQ195" s="71"/>
      <c r="BS195" s="71"/>
      <c r="BV195" s="74"/>
      <c r="BX195" s="71"/>
      <c r="BZ195" s="71"/>
      <c r="CC195" s="38"/>
      <c r="CD195" s="29"/>
      <c r="CE195" s="39"/>
      <c r="CF195" s="39"/>
      <c r="CG195" s="39"/>
      <c r="CH195" s="40"/>
      <c r="CI195" s="40"/>
      <c r="CJ195" s="40"/>
      <c r="CK195" s="39"/>
      <c r="CL195" s="39"/>
      <c r="CM195" s="39"/>
      <c r="CN195" s="39"/>
      <c r="CO195" s="39"/>
      <c r="CP195" s="39"/>
      <c r="CQ195" s="41"/>
      <c r="CR195" s="39"/>
      <c r="CS195" s="39"/>
      <c r="CT195" s="41"/>
      <c r="CU195" s="41"/>
      <c r="CV195" s="41"/>
      <c r="CW195" s="41"/>
      <c r="CX195" s="39"/>
      <c r="CY195" s="39"/>
      <c r="CZ195" s="41"/>
      <c r="DA195" s="41"/>
      <c r="DB195" s="41"/>
      <c r="DC195" s="41"/>
      <c r="DD195" s="39"/>
      <c r="DE195" s="39"/>
      <c r="DF195" s="41"/>
      <c r="DG195" s="41"/>
      <c r="DH195" s="41"/>
      <c r="DI195" s="42"/>
      <c r="DJ195" s="43"/>
      <c r="DK195" s="43">
        <f t="shared" si="296"/>
        <v>0</v>
      </c>
    </row>
    <row r="196" spans="24:115" s="30" customFormat="1" ht="27" customHeight="1">
      <c r="X196" s="67"/>
      <c r="AB196" s="68"/>
      <c r="AD196" s="71"/>
      <c r="AE196" s="71"/>
      <c r="AG196" s="71"/>
      <c r="AH196" s="73"/>
      <c r="AJ196" s="74"/>
      <c r="AL196" s="78"/>
      <c r="AM196" s="78"/>
      <c r="AO196" s="71"/>
      <c r="AR196" s="74"/>
      <c r="AW196" s="71"/>
      <c r="AZ196" s="74"/>
      <c r="BB196" s="71"/>
      <c r="BD196" s="71"/>
      <c r="BG196" s="74"/>
      <c r="BI196" s="71"/>
      <c r="BK196" s="71"/>
      <c r="BN196" s="74"/>
      <c r="BP196" s="71"/>
      <c r="BQ196" s="71"/>
      <c r="BS196" s="71"/>
      <c r="BV196" s="74"/>
      <c r="BX196" s="71"/>
      <c r="BZ196" s="71"/>
      <c r="CC196" s="38"/>
      <c r="CD196" s="710" t="s">
        <v>449</v>
      </c>
      <c r="CE196" s="85"/>
      <c r="CF196" s="710" t="s">
        <v>450</v>
      </c>
      <c r="CG196" s="85"/>
      <c r="CH196" s="710" t="s">
        <v>181</v>
      </c>
      <c r="CI196" s="710" t="s">
        <v>181</v>
      </c>
      <c r="CJ196" s="710" t="s">
        <v>182</v>
      </c>
      <c r="CK196" s="710" t="s">
        <v>450</v>
      </c>
      <c r="CL196" s="85"/>
      <c r="CM196" s="710" t="s">
        <v>181</v>
      </c>
      <c r="CN196" s="710" t="s">
        <v>181</v>
      </c>
      <c r="CO196" s="710" t="s">
        <v>182</v>
      </c>
      <c r="CP196" s="710" t="s">
        <v>450</v>
      </c>
      <c r="CQ196" s="85"/>
      <c r="CR196" s="710" t="s">
        <v>181</v>
      </c>
      <c r="CS196" s="710" t="s">
        <v>181</v>
      </c>
      <c r="CT196" s="710" t="s">
        <v>182</v>
      </c>
      <c r="CU196" s="41"/>
      <c r="CV196" s="41"/>
      <c r="CW196" s="41"/>
      <c r="CX196" s="39"/>
      <c r="CY196" s="39"/>
      <c r="CZ196" s="41"/>
      <c r="DA196" s="41"/>
      <c r="DB196" s="41"/>
      <c r="DC196" s="41"/>
      <c r="DD196" s="39"/>
      <c r="DE196" s="39"/>
      <c r="DF196" s="41"/>
      <c r="DG196" s="41"/>
      <c r="DH196" s="41"/>
      <c r="DI196" s="42"/>
      <c r="DJ196" s="43"/>
      <c r="DK196" s="43" t="str">
        <f t="shared" si="296"/>
        <v>Incertidumbre (+/- %)</v>
      </c>
    </row>
    <row r="197" spans="24:115" s="30" customFormat="1" ht="34.5" customHeight="1" thickBot="1">
      <c r="X197" s="67"/>
      <c r="AB197" s="68"/>
      <c r="AD197" s="71"/>
      <c r="AE197" s="71"/>
      <c r="AG197" s="71"/>
      <c r="AH197" s="73"/>
      <c r="AJ197" s="74"/>
      <c r="AL197" s="78"/>
      <c r="AM197" s="78"/>
      <c r="AO197" s="71"/>
      <c r="AR197" s="74"/>
      <c r="AW197" s="71"/>
      <c r="AZ197" s="74"/>
      <c r="BB197" s="71"/>
      <c r="BD197" s="71"/>
      <c r="BG197" s="74"/>
      <c r="BI197" s="71"/>
      <c r="BK197" s="71"/>
      <c r="BN197" s="74"/>
      <c r="BP197" s="71"/>
      <c r="BQ197" s="71"/>
      <c r="BS197" s="71"/>
      <c r="BV197" s="74"/>
      <c r="BX197" s="71"/>
      <c r="BZ197" s="71"/>
      <c r="CC197" s="38"/>
      <c r="CD197" s="711"/>
      <c r="CE197" s="87" t="s">
        <v>193</v>
      </c>
      <c r="CF197" s="711"/>
      <c r="CG197" s="87" t="s">
        <v>194</v>
      </c>
      <c r="CH197" s="711"/>
      <c r="CI197" s="711"/>
      <c r="CJ197" s="711"/>
      <c r="CK197" s="711"/>
      <c r="CL197" s="87" t="s">
        <v>194</v>
      </c>
      <c r="CM197" s="711"/>
      <c r="CN197" s="711"/>
      <c r="CO197" s="711"/>
      <c r="CP197" s="711"/>
      <c r="CQ197" s="87" t="s">
        <v>194</v>
      </c>
      <c r="CR197" s="711"/>
      <c r="CS197" s="711"/>
      <c r="CT197" s="711"/>
      <c r="CU197" s="41"/>
      <c r="CV197" s="41"/>
      <c r="CW197" s="41"/>
      <c r="CX197" s="39"/>
      <c r="CY197" s="39"/>
      <c r="CZ197" s="41"/>
      <c r="DA197" s="41"/>
      <c r="DB197" s="41"/>
      <c r="DC197" s="41"/>
      <c r="DD197" s="39"/>
      <c r="DE197" s="39"/>
      <c r="DF197" s="41"/>
      <c r="DG197" s="41"/>
      <c r="DH197" s="41"/>
      <c r="DI197" s="42"/>
      <c r="DJ197" s="43"/>
      <c r="DK197" s="43">
        <f t="shared" si="296"/>
        <v>0</v>
      </c>
    </row>
    <row r="198" spans="24:115" s="30" customFormat="1" ht="16.149999999999999" thickBot="1">
      <c r="X198" s="67"/>
      <c r="AB198" s="68"/>
      <c r="AD198" s="71"/>
      <c r="AE198" s="71"/>
      <c r="AG198" s="71"/>
      <c r="AH198" s="73"/>
      <c r="AJ198" s="74"/>
      <c r="AL198" s="78"/>
      <c r="AM198" s="78"/>
      <c r="AO198" s="71"/>
      <c r="AR198" s="74"/>
      <c r="AW198" s="71"/>
      <c r="AZ198" s="74"/>
      <c r="BB198" s="71"/>
      <c r="BD198" s="71"/>
      <c r="BG198" s="74"/>
      <c r="BI198" s="71"/>
      <c r="BK198" s="71"/>
      <c r="BN198" s="74"/>
      <c r="BP198" s="71"/>
      <c r="BQ198" s="71"/>
      <c r="BR198" s="31">
        <f>(10+0.9)*(0.67)</f>
        <v>7.3030000000000008</v>
      </c>
      <c r="BS198" s="31">
        <f>25*(0.67)</f>
        <v>16.75</v>
      </c>
      <c r="BV198" s="74"/>
      <c r="BX198" s="71">
        <f>1.2*0.657</f>
        <v>0.78839999999999999</v>
      </c>
      <c r="BY198" s="31">
        <f>(10+0.9)*(0.67)</f>
        <v>7.3030000000000008</v>
      </c>
      <c r="BZ198" s="31">
        <f>25*(0.67)</f>
        <v>16.75</v>
      </c>
      <c r="CA198" s="31">
        <f>(18+2.5)*(0.67)</f>
        <v>13.735000000000001</v>
      </c>
      <c r="CB198" s="31">
        <f>(25+4)*(0.67)</f>
        <v>19.43</v>
      </c>
      <c r="CC198" s="110" t="s">
        <v>451</v>
      </c>
      <c r="CD198" s="111" t="s">
        <v>452</v>
      </c>
      <c r="CE198" s="92" t="s">
        <v>217</v>
      </c>
      <c r="CF198" s="96">
        <f>(25+4)*0.67</f>
        <v>19.43</v>
      </c>
      <c r="CG198" s="92" t="s">
        <v>453</v>
      </c>
      <c r="CH198" s="98">
        <v>0.5</v>
      </c>
      <c r="CI198" s="98">
        <v>0.5</v>
      </c>
      <c r="CJ198" s="97" t="s">
        <v>454</v>
      </c>
      <c r="CK198" s="96">
        <f>12.3*1.84</f>
        <v>22.632000000000001</v>
      </c>
      <c r="CL198" s="92" t="s">
        <v>455</v>
      </c>
      <c r="CM198" s="98">
        <v>0.5</v>
      </c>
      <c r="CN198" s="98">
        <v>1</v>
      </c>
      <c r="CO198" s="97" t="s">
        <v>454</v>
      </c>
      <c r="CP198" s="96"/>
      <c r="CQ198" s="92" t="s">
        <v>456</v>
      </c>
      <c r="CR198" s="98">
        <v>0.5</v>
      </c>
      <c r="CS198" s="98">
        <v>1</v>
      </c>
      <c r="CT198" s="97" t="s">
        <v>454</v>
      </c>
      <c r="CU198" s="41"/>
      <c r="CV198" s="41"/>
      <c r="CW198" s="41"/>
      <c r="CX198" s="39"/>
      <c r="CY198" s="39"/>
      <c r="CZ198" s="41"/>
      <c r="DA198" s="41"/>
      <c r="DB198" s="41"/>
      <c r="DC198" s="41"/>
      <c r="DD198" s="39"/>
      <c r="DE198" s="39"/>
      <c r="DF198" s="41"/>
      <c r="DG198" s="41"/>
      <c r="DH198" s="41"/>
      <c r="DI198" s="42"/>
      <c r="DJ198" s="43">
        <v>0.05</v>
      </c>
      <c r="DK198" s="43">
        <f t="shared" si="296"/>
        <v>0.5</v>
      </c>
    </row>
    <row r="199" spans="24:115" s="30" customFormat="1" ht="16.149999999999999" thickBot="1">
      <c r="X199" s="67"/>
      <c r="AB199" s="68"/>
      <c r="AD199" s="71"/>
      <c r="AE199" s="71"/>
      <c r="AG199" s="71"/>
      <c r="AH199" s="73"/>
      <c r="AJ199" s="74"/>
      <c r="AL199" s="78"/>
      <c r="AM199" s="78"/>
      <c r="AO199" s="71"/>
      <c r="AR199" s="74"/>
      <c r="AW199" s="71"/>
      <c r="AZ199" s="74"/>
      <c r="BB199" s="71"/>
      <c r="BD199" s="71"/>
      <c r="BG199" s="74"/>
      <c r="BI199" s="71"/>
      <c r="BK199" s="71"/>
      <c r="BN199" s="74"/>
      <c r="BP199" s="71"/>
      <c r="BQ199" s="71"/>
      <c r="BR199" s="31">
        <f>(0.31+0)*(0.67)</f>
        <v>0.20770000000000002</v>
      </c>
      <c r="BS199" s="31">
        <f>25*(0.67)</f>
        <v>16.75</v>
      </c>
      <c r="BV199" s="74"/>
      <c r="BX199" s="71"/>
      <c r="BY199" s="31">
        <f>(0.31+0)*(0.67)</f>
        <v>0.20770000000000002</v>
      </c>
      <c r="BZ199" s="31">
        <f>25*(0.67)</f>
        <v>16.75</v>
      </c>
      <c r="CA199" s="31">
        <f>(1.2+0.1)*(0.67)</f>
        <v>0.87100000000000011</v>
      </c>
      <c r="CB199" s="31">
        <f>(2+0.2)*(0.67)</f>
        <v>1.4740000000000002</v>
      </c>
      <c r="CC199" s="110" t="s">
        <v>451</v>
      </c>
      <c r="CD199" s="111" t="s">
        <v>457</v>
      </c>
      <c r="CE199" s="92" t="s">
        <v>217</v>
      </c>
      <c r="CF199" s="96">
        <f>CB199</f>
        <v>1.4740000000000002</v>
      </c>
      <c r="CG199" s="92" t="s">
        <v>453</v>
      </c>
      <c r="CH199" s="98">
        <v>0.5</v>
      </c>
      <c r="CI199" s="98">
        <v>0.5</v>
      </c>
      <c r="CJ199" s="97" t="s">
        <v>454</v>
      </c>
      <c r="CK199" s="96">
        <f>0.94*1.84</f>
        <v>1.7296</v>
      </c>
      <c r="CL199" s="92" t="s">
        <v>455</v>
      </c>
      <c r="CM199" s="98">
        <v>0.5</v>
      </c>
      <c r="CN199" s="98">
        <v>1</v>
      </c>
      <c r="CO199" s="97" t="s">
        <v>454</v>
      </c>
      <c r="CP199" s="96"/>
      <c r="CQ199" s="92" t="s">
        <v>456</v>
      </c>
      <c r="CR199" s="98">
        <v>0.5</v>
      </c>
      <c r="CS199" s="98">
        <v>1</v>
      </c>
      <c r="CT199" s="97" t="s">
        <v>454</v>
      </c>
      <c r="CU199" s="41"/>
      <c r="CV199" s="41"/>
      <c r="CW199" s="41"/>
      <c r="CX199" s="39"/>
      <c r="CY199" s="39"/>
      <c r="CZ199" s="41"/>
      <c r="DA199" s="41"/>
      <c r="DB199" s="41"/>
      <c r="DC199" s="41"/>
      <c r="DD199" s="39"/>
      <c r="DE199" s="39"/>
      <c r="DF199" s="41"/>
      <c r="DG199" s="41"/>
      <c r="DH199" s="41"/>
      <c r="DI199" s="42"/>
      <c r="DJ199" s="43">
        <v>0.05</v>
      </c>
      <c r="DK199" s="43">
        <f t="shared" ref="DK199:DK206" si="298">CI199</f>
        <v>0.5</v>
      </c>
    </row>
    <row r="200" spans="24:115" s="30" customFormat="1" ht="21" customHeight="1" thickBot="1">
      <c r="X200" s="67"/>
      <c r="AB200" s="68"/>
      <c r="AD200" s="71"/>
      <c r="AE200" s="71"/>
      <c r="AG200" s="71"/>
      <c r="AH200" s="73"/>
      <c r="AJ200" s="74"/>
      <c r="AL200" s="78"/>
      <c r="AM200" s="78"/>
      <c r="AO200" s="71"/>
      <c r="AR200" s="74"/>
      <c r="AW200" s="71"/>
      <c r="AZ200" s="74"/>
      <c r="BB200" s="71"/>
      <c r="BD200" s="71"/>
      <c r="BG200" s="74"/>
      <c r="BI200" s="71"/>
      <c r="BK200" s="71"/>
      <c r="BN200" s="74"/>
      <c r="BP200" s="71"/>
      <c r="BQ200" s="71"/>
      <c r="BR200" s="31"/>
      <c r="BS200" s="31"/>
      <c r="BV200" s="74"/>
      <c r="BX200" s="71"/>
      <c r="BY200" s="31"/>
      <c r="BZ200" s="31"/>
      <c r="CA200" s="31"/>
      <c r="CB200" s="31"/>
      <c r="CC200" s="110"/>
      <c r="CD200" s="111" t="s">
        <v>458</v>
      </c>
      <c r="CE200" s="92" t="s">
        <v>459</v>
      </c>
      <c r="CF200" s="96">
        <f>2.91/6.29</f>
        <v>0.46263910969793326</v>
      </c>
      <c r="CG200" s="92" t="s">
        <v>460</v>
      </c>
      <c r="CH200" s="98">
        <v>0.3</v>
      </c>
      <c r="CI200" s="98">
        <v>0.3</v>
      </c>
      <c r="CJ200" s="97" t="s">
        <v>454</v>
      </c>
      <c r="CK200" s="96">
        <f>44.99/6.29</f>
        <v>7.1526232114467412</v>
      </c>
      <c r="CL200" s="92" t="s">
        <v>461</v>
      </c>
      <c r="CM200" s="98">
        <v>0.3</v>
      </c>
      <c r="CN200" s="98">
        <v>0.3</v>
      </c>
      <c r="CO200" s="97" t="s">
        <v>454</v>
      </c>
      <c r="CP200" s="96">
        <f>0.00067/6.29</f>
        <v>1.0651828298887123E-4</v>
      </c>
      <c r="CQ200" s="92" t="s">
        <v>462</v>
      </c>
      <c r="CR200" s="98">
        <v>0.1</v>
      </c>
      <c r="CS200" s="98">
        <v>10</v>
      </c>
      <c r="CT200" s="97" t="s">
        <v>454</v>
      </c>
      <c r="CU200" s="41"/>
      <c r="CV200" s="41"/>
      <c r="CW200" s="41"/>
      <c r="CX200" s="39"/>
      <c r="CY200" s="39"/>
      <c r="CZ200" s="41"/>
      <c r="DA200" s="41"/>
      <c r="DB200" s="41"/>
      <c r="DC200" s="41"/>
      <c r="DD200" s="39"/>
      <c r="DE200" s="39"/>
      <c r="DF200" s="41"/>
      <c r="DG200" s="41"/>
      <c r="DH200" s="41"/>
      <c r="DI200" s="42"/>
      <c r="DJ200" s="43">
        <v>0.05</v>
      </c>
      <c r="DK200" s="43">
        <f t="shared" si="298"/>
        <v>0.3</v>
      </c>
    </row>
    <row r="201" spans="24:115" s="30" customFormat="1" ht="21" customHeight="1" thickBot="1">
      <c r="X201" s="67"/>
      <c r="AB201" s="68"/>
      <c r="AD201" s="71"/>
      <c r="AE201" s="71"/>
      <c r="AG201" s="71"/>
      <c r="AH201" s="73"/>
      <c r="AJ201" s="74"/>
      <c r="AL201" s="78"/>
      <c r="AM201" s="78"/>
      <c r="AO201" s="71"/>
      <c r="AR201" s="74"/>
      <c r="AW201" s="71"/>
      <c r="AZ201" s="74"/>
      <c r="BB201" s="71"/>
      <c r="BD201" s="71"/>
      <c r="BG201" s="74"/>
      <c r="BI201" s="71"/>
      <c r="BK201" s="71"/>
      <c r="BN201" s="74"/>
      <c r="BP201" s="71"/>
      <c r="BQ201" s="71"/>
      <c r="BR201" s="31"/>
      <c r="BS201" s="31"/>
      <c r="BV201" s="74"/>
      <c r="BX201" s="71"/>
      <c r="BY201" s="31"/>
      <c r="BZ201" s="31"/>
      <c r="CA201" s="31"/>
      <c r="CB201" s="31"/>
      <c r="CC201" s="110"/>
      <c r="CD201" s="111" t="s">
        <v>463</v>
      </c>
      <c r="CE201" s="92" t="s">
        <v>459</v>
      </c>
      <c r="CF201" s="96">
        <f>3.43/6.29</f>
        <v>0.54531001589825123</v>
      </c>
      <c r="CG201" s="92" t="s">
        <v>460</v>
      </c>
      <c r="CH201" s="98">
        <v>0.3</v>
      </c>
      <c r="CI201" s="98">
        <v>0.3</v>
      </c>
      <c r="CJ201" s="97" t="s">
        <v>454</v>
      </c>
      <c r="CK201" s="96">
        <f>12.4/6.29</f>
        <v>1.971383147853736</v>
      </c>
      <c r="CL201" s="92" t="s">
        <v>461</v>
      </c>
      <c r="CM201" s="98">
        <v>0.3</v>
      </c>
      <c r="CN201" s="98">
        <v>0.3</v>
      </c>
      <c r="CO201" s="97" t="s">
        <v>454</v>
      </c>
      <c r="CP201" s="96">
        <f>0.00019/6.29</f>
        <v>3.0206677265500797E-5</v>
      </c>
      <c r="CQ201" s="92" t="s">
        <v>462</v>
      </c>
      <c r="CR201" s="98">
        <v>0.1</v>
      </c>
      <c r="CS201" s="98">
        <v>10</v>
      </c>
      <c r="CT201" s="97" t="s">
        <v>454</v>
      </c>
      <c r="CU201" s="41"/>
      <c r="CV201" s="41"/>
      <c r="CW201" s="41"/>
      <c r="CX201" s="39"/>
      <c r="CY201" s="39"/>
      <c r="CZ201" s="41"/>
      <c r="DA201" s="41"/>
      <c r="DB201" s="41"/>
      <c r="DC201" s="41"/>
      <c r="DD201" s="39"/>
      <c r="DE201" s="39"/>
      <c r="DF201" s="41"/>
      <c r="DG201" s="41"/>
      <c r="DH201" s="41"/>
      <c r="DI201" s="42"/>
      <c r="DJ201" s="43">
        <v>0.05</v>
      </c>
      <c r="DK201" s="43">
        <f t="shared" si="298"/>
        <v>0.3</v>
      </c>
    </row>
    <row r="202" spans="24:115" s="30" customFormat="1" ht="16.149999999999999" thickBot="1">
      <c r="X202" s="67"/>
      <c r="AB202" s="68"/>
      <c r="AD202" s="71"/>
      <c r="AE202" s="71"/>
      <c r="AG202" s="71"/>
      <c r="AH202" s="73"/>
      <c r="AJ202" s="74"/>
      <c r="AL202" s="78"/>
      <c r="AM202" s="78"/>
      <c r="AO202" s="71"/>
      <c r="AR202" s="74"/>
      <c r="AW202" s="71"/>
      <c r="AZ202" s="74"/>
      <c r="BB202" s="71"/>
      <c r="BD202" s="71"/>
      <c r="BG202" s="74"/>
      <c r="BI202" s="71"/>
      <c r="BK202" s="71"/>
      <c r="BN202" s="74"/>
      <c r="BP202" s="71"/>
      <c r="BQ202" s="71"/>
      <c r="BR202" s="31"/>
      <c r="BS202" s="31"/>
      <c r="BV202" s="74"/>
      <c r="BX202" s="71"/>
      <c r="BY202" s="31"/>
      <c r="BZ202" s="31"/>
      <c r="CA202" s="31"/>
      <c r="CB202" s="31"/>
      <c r="CC202" s="110"/>
      <c r="CD202" s="111" t="s">
        <v>464</v>
      </c>
      <c r="CE202" s="92" t="s">
        <v>459</v>
      </c>
      <c r="CF202" s="96">
        <f>2.46/6.29</f>
        <v>0.39109697933227344</v>
      </c>
      <c r="CG202" s="92" t="s">
        <v>460</v>
      </c>
      <c r="CH202" s="98">
        <v>0.3</v>
      </c>
      <c r="CI202" s="98">
        <v>0.3</v>
      </c>
      <c r="CJ202" s="97" t="s">
        <v>454</v>
      </c>
      <c r="CK202" s="96">
        <f>4.08/6.29</f>
        <v>0.64864864864864868</v>
      </c>
      <c r="CL202" s="92" t="s">
        <v>461</v>
      </c>
      <c r="CM202" s="98">
        <v>0.3</v>
      </c>
      <c r="CN202" s="98">
        <v>0.3</v>
      </c>
      <c r="CO202" s="97" t="s">
        <v>454</v>
      </c>
      <c r="CP202" s="96">
        <f>0.000016/6.29</f>
        <v>2.5437201907790142E-6</v>
      </c>
      <c r="CQ202" s="92" t="s">
        <v>462</v>
      </c>
      <c r="CR202" s="98">
        <v>0.1</v>
      </c>
      <c r="CS202" s="98">
        <v>10</v>
      </c>
      <c r="CT202" s="97" t="s">
        <v>454</v>
      </c>
      <c r="CU202" s="41"/>
      <c r="CV202" s="41"/>
      <c r="CW202" s="41"/>
      <c r="CX202" s="39"/>
      <c r="CY202" s="39"/>
      <c r="CZ202" s="41"/>
      <c r="DA202" s="41"/>
      <c r="DB202" s="41"/>
      <c r="DC202" s="41"/>
      <c r="DD202" s="39"/>
      <c r="DE202" s="39"/>
      <c r="DF202" s="41"/>
      <c r="DG202" s="41"/>
      <c r="DH202" s="41"/>
      <c r="DI202" s="42"/>
      <c r="DJ202" s="43">
        <v>0.05</v>
      </c>
      <c r="DK202" s="43">
        <f t="shared" ref="DK202:DK203" si="299">CI202</f>
        <v>0.3</v>
      </c>
    </row>
    <row r="203" spans="24:115" s="30" customFormat="1" ht="16.149999999999999" thickBot="1">
      <c r="X203" s="67"/>
      <c r="AB203" s="68"/>
      <c r="AD203" s="71"/>
      <c r="AE203" s="71"/>
      <c r="AG203" s="71"/>
      <c r="AH203" s="73"/>
      <c r="AJ203" s="74"/>
      <c r="AL203" s="78"/>
      <c r="AM203" s="78"/>
      <c r="AO203" s="71"/>
      <c r="AR203" s="74"/>
      <c r="AW203" s="71"/>
      <c r="AZ203" s="74"/>
      <c r="BB203" s="71"/>
      <c r="BD203" s="71"/>
      <c r="BG203" s="74"/>
      <c r="BI203" s="71"/>
      <c r="BK203" s="71"/>
      <c r="BN203" s="74"/>
      <c r="BP203" s="71"/>
      <c r="BQ203" s="71"/>
      <c r="BR203" s="31"/>
      <c r="BS203" s="31"/>
      <c r="BV203" s="74"/>
      <c r="BX203" s="71"/>
      <c r="BY203" s="31"/>
      <c r="BZ203" s="31"/>
      <c r="CA203" s="31"/>
      <c r="CB203" s="31"/>
      <c r="CC203" s="110"/>
      <c r="CD203" s="111" t="s">
        <v>465</v>
      </c>
      <c r="CE203" s="92" t="s">
        <v>466</v>
      </c>
      <c r="CF203" s="96">
        <f>0.0054/6.29</f>
        <v>8.5850556438791734E-4</v>
      </c>
      <c r="CG203" s="92" t="s">
        <v>460</v>
      </c>
      <c r="CH203" s="98">
        <v>1</v>
      </c>
      <c r="CI203" s="98">
        <v>1</v>
      </c>
      <c r="CJ203" s="97" t="s">
        <v>454</v>
      </c>
      <c r="CK203" s="96">
        <f>0.00049/6.29</f>
        <v>7.7901430842607317E-5</v>
      </c>
      <c r="CL203" s="92" t="s">
        <v>461</v>
      </c>
      <c r="CM203" s="98">
        <v>1</v>
      </c>
      <c r="CN203" s="98">
        <v>1</v>
      </c>
      <c r="CO203" s="97" t="s">
        <v>454</v>
      </c>
      <c r="CP203" s="96">
        <v>0</v>
      </c>
      <c r="CQ203" s="92" t="s">
        <v>462</v>
      </c>
      <c r="CR203" s="98">
        <v>0</v>
      </c>
      <c r="CS203" s="98">
        <v>0</v>
      </c>
      <c r="CT203" s="97" t="s">
        <v>454</v>
      </c>
      <c r="CU203" s="41"/>
      <c r="CV203" s="41"/>
      <c r="CW203" s="41"/>
      <c r="CX203" s="39"/>
      <c r="CY203" s="39"/>
      <c r="CZ203" s="41"/>
      <c r="DA203" s="41"/>
      <c r="DB203" s="41"/>
      <c r="DC203" s="41"/>
      <c r="DD203" s="39"/>
      <c r="DE203" s="39"/>
      <c r="DF203" s="41"/>
      <c r="DG203" s="41"/>
      <c r="DH203" s="41"/>
      <c r="DI203" s="42"/>
      <c r="DJ203" s="43">
        <v>0.05</v>
      </c>
      <c r="DK203" s="43">
        <f t="shared" si="299"/>
        <v>1</v>
      </c>
    </row>
    <row r="204" spans="24:115" s="30" customFormat="1" ht="16.149999999999999" thickBot="1">
      <c r="X204" s="67"/>
      <c r="AB204" s="68"/>
      <c r="AD204" s="71"/>
      <c r="AE204" s="71"/>
      <c r="AG204" s="71"/>
      <c r="AH204" s="73"/>
      <c r="AJ204" s="74"/>
      <c r="AL204" s="78"/>
      <c r="AM204" s="78"/>
      <c r="AO204" s="71"/>
      <c r="AR204" s="74"/>
      <c r="AW204" s="71"/>
      <c r="AZ204" s="74"/>
      <c r="BB204" s="71"/>
      <c r="BD204" s="71"/>
      <c r="BG204" s="74"/>
      <c r="BI204" s="71"/>
      <c r="BK204" s="71"/>
      <c r="BN204" s="74"/>
      <c r="BP204" s="71"/>
      <c r="BQ204" s="71"/>
      <c r="BR204" s="31"/>
      <c r="BS204" s="31"/>
      <c r="BV204" s="74"/>
      <c r="BX204" s="71"/>
      <c r="BY204" s="31"/>
      <c r="BZ204" s="31"/>
      <c r="CA204" s="31"/>
      <c r="CB204" s="31"/>
      <c r="CC204" s="110"/>
      <c r="CD204" s="111" t="s">
        <v>467</v>
      </c>
      <c r="CE204" s="92" t="s">
        <v>466</v>
      </c>
      <c r="CF204" s="96">
        <f>0.025/6.29</f>
        <v>3.9745627980922104E-3</v>
      </c>
      <c r="CG204" s="92" t="s">
        <v>460</v>
      </c>
      <c r="CH204" s="98">
        <v>0.5</v>
      </c>
      <c r="CI204" s="98">
        <v>0.5</v>
      </c>
      <c r="CJ204" s="97" t="s">
        <v>454</v>
      </c>
      <c r="CK204" s="96">
        <f>0.0023/6.29</f>
        <v>3.656597774244833E-4</v>
      </c>
      <c r="CL204" s="92" t="s">
        <v>461</v>
      </c>
      <c r="CM204" s="98">
        <v>0.5</v>
      </c>
      <c r="CN204" s="98">
        <v>0.5</v>
      </c>
      <c r="CO204" s="97" t="s">
        <v>454</v>
      </c>
      <c r="CP204" s="96">
        <v>0</v>
      </c>
      <c r="CQ204" s="92" t="s">
        <v>462</v>
      </c>
      <c r="CR204" s="98">
        <v>0</v>
      </c>
      <c r="CS204" s="98">
        <v>0</v>
      </c>
      <c r="CT204" s="97" t="s">
        <v>454</v>
      </c>
      <c r="CU204" s="41"/>
      <c r="CV204" s="41"/>
      <c r="CW204" s="41"/>
      <c r="CX204" s="39"/>
      <c r="CY204" s="39"/>
      <c r="CZ204" s="41"/>
      <c r="DA204" s="41"/>
      <c r="DB204" s="41"/>
      <c r="DC204" s="41"/>
      <c r="DD204" s="39"/>
      <c r="DE204" s="39"/>
      <c r="DF204" s="41"/>
      <c r="DG204" s="41"/>
      <c r="DH204" s="41"/>
      <c r="DI204" s="42"/>
      <c r="DJ204" s="43">
        <v>0.05</v>
      </c>
      <c r="DK204" s="43">
        <f t="shared" ref="DK204:DK205" si="300">CI204</f>
        <v>0.5</v>
      </c>
    </row>
    <row r="205" spans="24:115" s="30" customFormat="1" ht="16.149999999999999" thickBot="1">
      <c r="X205" s="67"/>
      <c r="AB205" s="68"/>
      <c r="AD205" s="71"/>
      <c r="AE205" s="71"/>
      <c r="AG205" s="71"/>
      <c r="AH205" s="73"/>
      <c r="AJ205" s="74"/>
      <c r="AL205" s="78"/>
      <c r="AM205" s="78"/>
      <c r="AO205" s="71"/>
      <c r="AR205" s="74"/>
      <c r="AW205" s="71"/>
      <c r="AZ205" s="74"/>
      <c r="BB205" s="71"/>
      <c r="BD205" s="71"/>
      <c r="BG205" s="74"/>
      <c r="BI205" s="71"/>
      <c r="BK205" s="71"/>
      <c r="BN205" s="74"/>
      <c r="BP205" s="71"/>
      <c r="BQ205" s="71"/>
      <c r="BR205" s="31"/>
      <c r="BS205" s="31"/>
      <c r="BV205" s="74"/>
      <c r="BX205" s="71"/>
      <c r="BY205" s="31"/>
      <c r="BZ205" s="31"/>
      <c r="CA205" s="31"/>
      <c r="CB205" s="31"/>
      <c r="CC205" s="110"/>
      <c r="CD205" s="111" t="s">
        <v>468</v>
      </c>
      <c r="CE205" s="92" t="s">
        <v>469</v>
      </c>
      <c r="CF205" s="96">
        <f>0.002/6.29</f>
        <v>3.1796502384737679E-4</v>
      </c>
      <c r="CG205" s="92" t="s">
        <v>460</v>
      </c>
      <c r="CH205" s="98">
        <v>0.5</v>
      </c>
      <c r="CI205" s="98">
        <v>0.5</v>
      </c>
      <c r="CJ205" s="97" t="s">
        <v>454</v>
      </c>
      <c r="CK205" s="96">
        <v>0</v>
      </c>
      <c r="CL205" s="92" t="s">
        <v>461</v>
      </c>
      <c r="CM205" s="98">
        <v>0</v>
      </c>
      <c r="CN205" s="98">
        <v>0</v>
      </c>
      <c r="CO205" s="97" t="s">
        <v>454</v>
      </c>
      <c r="CP205" s="96">
        <v>0</v>
      </c>
      <c r="CQ205" s="92" t="s">
        <v>462</v>
      </c>
      <c r="CR205" s="98">
        <v>0</v>
      </c>
      <c r="CS205" s="98">
        <v>0</v>
      </c>
      <c r="CT205" s="97" t="s">
        <v>454</v>
      </c>
      <c r="CU205" s="41"/>
      <c r="CV205" s="41"/>
      <c r="CW205" s="41"/>
      <c r="CX205" s="39"/>
      <c r="CY205" s="39"/>
      <c r="CZ205" s="41"/>
      <c r="DA205" s="41"/>
      <c r="DB205" s="41"/>
      <c r="DC205" s="41"/>
      <c r="DD205" s="39"/>
      <c r="DE205" s="39"/>
      <c r="DF205" s="41"/>
      <c r="DG205" s="41"/>
      <c r="DH205" s="41"/>
      <c r="DI205" s="42"/>
      <c r="DJ205" s="43">
        <v>0.05</v>
      </c>
      <c r="DK205" s="43">
        <f t="shared" si="300"/>
        <v>0.5</v>
      </c>
    </row>
    <row r="206" spans="24:115" s="30" customFormat="1" ht="16.149999999999999" thickBot="1">
      <c r="X206" s="67"/>
      <c r="AB206" s="68"/>
      <c r="AD206" s="71"/>
      <c r="AE206" s="71"/>
      <c r="AG206" s="71"/>
      <c r="AH206" s="73"/>
      <c r="AJ206" s="74"/>
      <c r="AL206" s="78"/>
      <c r="AM206" s="78"/>
      <c r="AO206" s="71"/>
      <c r="AR206" s="74"/>
      <c r="AW206" s="71"/>
      <c r="AZ206" s="74"/>
      <c r="BB206" s="71"/>
      <c r="BD206" s="71"/>
      <c r="BG206" s="74"/>
      <c r="BI206" s="71"/>
      <c r="BK206" s="71"/>
      <c r="BN206" s="74"/>
      <c r="BP206" s="71"/>
      <c r="BQ206" s="71"/>
      <c r="BR206" s="31"/>
      <c r="BS206" s="31"/>
      <c r="BV206" s="74"/>
      <c r="BX206" s="71"/>
      <c r="BY206" s="31"/>
      <c r="BZ206" s="31"/>
      <c r="CA206" s="31"/>
      <c r="CB206" s="31"/>
      <c r="CC206" s="110"/>
      <c r="CD206" s="111" t="s">
        <v>470</v>
      </c>
      <c r="CE206" s="92" t="s">
        <v>471</v>
      </c>
      <c r="CF206" s="96">
        <f>0.03/6.29</f>
        <v>4.7694753577106515E-3</v>
      </c>
      <c r="CG206" s="92" t="s">
        <v>460</v>
      </c>
      <c r="CH206" s="98">
        <v>0.5</v>
      </c>
      <c r="CI206" s="98">
        <v>1.3</v>
      </c>
      <c r="CJ206" s="97" t="s">
        <v>454</v>
      </c>
      <c r="CK206" s="96">
        <f>5.85/6.29</f>
        <v>0.93004769475357707</v>
      </c>
      <c r="CL206" s="92" t="s">
        <v>461</v>
      </c>
      <c r="CM206" s="98">
        <v>0.5</v>
      </c>
      <c r="CN206" s="98">
        <v>1.3</v>
      </c>
      <c r="CO206" s="97" t="s">
        <v>454</v>
      </c>
      <c r="CP206" s="96">
        <f>0.0000877/6.29</f>
        <v>1.3942766295707472E-5</v>
      </c>
      <c r="CQ206" s="92" t="s">
        <v>462</v>
      </c>
      <c r="CR206" s="98">
        <v>1</v>
      </c>
      <c r="CS206" s="98">
        <v>1</v>
      </c>
      <c r="CT206" s="97" t="s">
        <v>454</v>
      </c>
      <c r="CU206" s="41"/>
      <c r="CV206" s="41"/>
      <c r="CW206" s="41"/>
      <c r="CX206" s="39"/>
      <c r="CY206" s="39"/>
      <c r="CZ206" s="41"/>
      <c r="DA206" s="41"/>
      <c r="DB206" s="41"/>
      <c r="DC206" s="41"/>
      <c r="DD206" s="39"/>
      <c r="DE206" s="39"/>
      <c r="DF206" s="41"/>
      <c r="DG206" s="41"/>
      <c r="DH206" s="41"/>
      <c r="DI206" s="42"/>
      <c r="DJ206" s="43">
        <v>0.05</v>
      </c>
      <c r="DK206" s="43">
        <f t="shared" si="298"/>
        <v>1.3</v>
      </c>
    </row>
    <row r="207" spans="24:115" s="30" customFormat="1" ht="21" customHeight="1" thickBot="1">
      <c r="X207" s="67"/>
      <c r="AB207" s="68"/>
      <c r="AD207" s="71"/>
      <c r="AE207" s="71"/>
      <c r="AG207" s="71"/>
      <c r="AH207" s="73"/>
      <c r="AJ207" s="74"/>
      <c r="AL207" s="78"/>
      <c r="AM207" s="78"/>
      <c r="AO207" s="71"/>
      <c r="AR207" s="74"/>
      <c r="AW207" s="71"/>
      <c r="AZ207" s="74"/>
      <c r="BB207" s="71"/>
      <c r="BD207" s="71"/>
      <c r="BG207" s="74"/>
      <c r="BI207" s="71"/>
      <c r="BK207" s="71"/>
      <c r="BN207" s="74"/>
      <c r="BP207" s="71"/>
      <c r="BQ207" s="71"/>
      <c r="BR207" s="31"/>
      <c r="BS207" s="31"/>
      <c r="BV207" s="74"/>
      <c r="BX207" s="71"/>
      <c r="BY207" s="31"/>
      <c r="BZ207" s="31"/>
      <c r="CA207" s="31"/>
      <c r="CB207" s="31"/>
      <c r="CC207" s="110"/>
      <c r="CD207" s="111" t="s">
        <v>472</v>
      </c>
      <c r="CE207" s="92" t="s">
        <v>473</v>
      </c>
      <c r="CF207" s="96">
        <f>2.54/1000</f>
        <v>2.5400000000000002E-3</v>
      </c>
      <c r="CG207" s="92" t="s">
        <v>474</v>
      </c>
      <c r="CH207" s="98">
        <v>0.2</v>
      </c>
      <c r="CI207" s="98">
        <v>0.2</v>
      </c>
      <c r="CJ207" s="97" t="s">
        <v>454</v>
      </c>
      <c r="CK207" s="96">
        <f>3.6/1000</f>
        <v>3.5999999999999999E-3</v>
      </c>
      <c r="CL207" s="92" t="s">
        <v>475</v>
      </c>
      <c r="CM207" s="98">
        <v>0.2</v>
      </c>
      <c r="CN207" s="98">
        <v>0.2</v>
      </c>
      <c r="CO207" s="97" t="s">
        <v>454</v>
      </c>
      <c r="CP207" s="96">
        <f>0.000061/1000</f>
        <v>6.1000000000000004E-8</v>
      </c>
      <c r="CQ207" s="92" t="s">
        <v>476</v>
      </c>
      <c r="CR207" s="98">
        <v>0.1</v>
      </c>
      <c r="CS207" s="98">
        <v>10</v>
      </c>
      <c r="CT207" s="97" t="s">
        <v>454</v>
      </c>
      <c r="CU207" s="41"/>
      <c r="CV207" s="41"/>
      <c r="CW207" s="41"/>
      <c r="CX207" s="39"/>
      <c r="CY207" s="39"/>
      <c r="CZ207" s="41"/>
      <c r="DA207" s="41"/>
      <c r="DB207" s="41"/>
      <c r="DC207" s="41"/>
      <c r="DD207" s="39"/>
      <c r="DE207" s="39"/>
      <c r="DF207" s="41"/>
      <c r="DG207" s="41"/>
      <c r="DH207" s="41"/>
      <c r="DI207" s="42"/>
      <c r="DJ207" s="43">
        <v>0.05</v>
      </c>
      <c r="DK207" s="43">
        <f t="shared" ref="DK207:DK216" si="301">CI207</f>
        <v>0.2</v>
      </c>
    </row>
    <row r="208" spans="24:115" s="30" customFormat="1" ht="28.15" thickBot="1">
      <c r="X208" s="67"/>
      <c r="AB208" s="68"/>
      <c r="AD208" s="71"/>
      <c r="AE208" s="71"/>
      <c r="AG208" s="71"/>
      <c r="AH208" s="73"/>
      <c r="AJ208" s="74"/>
      <c r="AL208" s="78"/>
      <c r="AM208" s="78"/>
      <c r="AO208" s="71"/>
      <c r="AR208" s="74"/>
      <c r="AW208" s="71"/>
      <c r="AZ208" s="74"/>
      <c r="BB208" s="71"/>
      <c r="BD208" s="71"/>
      <c r="BG208" s="74"/>
      <c r="BI208" s="71"/>
      <c r="BK208" s="71"/>
      <c r="BN208" s="74"/>
      <c r="BP208" s="71"/>
      <c r="BQ208" s="71"/>
      <c r="BR208" s="31"/>
      <c r="BS208" s="31"/>
      <c r="BV208" s="74"/>
      <c r="BX208" s="71"/>
      <c r="BY208" s="31"/>
      <c r="BZ208" s="31"/>
      <c r="CA208" s="31"/>
      <c r="CB208" s="31"/>
      <c r="CC208" s="110"/>
      <c r="CD208" s="111" t="s">
        <v>477</v>
      </c>
      <c r="CE208" s="92" t="s">
        <v>473</v>
      </c>
      <c r="CF208" s="96">
        <f>4.09/1000</f>
        <v>4.0899999999999999E-3</v>
      </c>
      <c r="CG208" s="92" t="s">
        <v>474</v>
      </c>
      <c r="CH208" s="98">
        <v>0.2</v>
      </c>
      <c r="CI208" s="98">
        <v>0.2</v>
      </c>
      <c r="CJ208" s="97" t="s">
        <v>454</v>
      </c>
      <c r="CK208" s="96">
        <f>1.45/1000</f>
        <v>1.4499999999999999E-3</v>
      </c>
      <c r="CL208" s="92" t="s">
        <v>475</v>
      </c>
      <c r="CM208" s="98">
        <v>0.2</v>
      </c>
      <c r="CN208" s="98">
        <v>0.2</v>
      </c>
      <c r="CO208" s="97" t="s">
        <v>454</v>
      </c>
      <c r="CP208" s="96">
        <f>0.000025/1000</f>
        <v>2.5000000000000002E-8</v>
      </c>
      <c r="CQ208" s="92" t="s">
        <v>476</v>
      </c>
      <c r="CR208" s="98">
        <v>0.1</v>
      </c>
      <c r="CS208" s="98">
        <v>10</v>
      </c>
      <c r="CT208" s="97" t="s">
        <v>454</v>
      </c>
      <c r="CU208" s="41"/>
      <c r="CV208" s="41"/>
      <c r="CW208" s="41"/>
      <c r="CX208" s="39"/>
      <c r="CY208" s="39"/>
      <c r="CZ208" s="41"/>
      <c r="DA208" s="41"/>
      <c r="DB208" s="41"/>
      <c r="DC208" s="41"/>
      <c r="DD208" s="39"/>
      <c r="DE208" s="39"/>
      <c r="DF208" s="41"/>
      <c r="DG208" s="41"/>
      <c r="DH208" s="41"/>
      <c r="DI208" s="42"/>
      <c r="DJ208" s="43">
        <v>0.05</v>
      </c>
      <c r="DK208" s="43">
        <f t="shared" si="301"/>
        <v>0.2</v>
      </c>
    </row>
    <row r="209" spans="24:115" s="30" customFormat="1" ht="16.899999999999999" thickBot="1">
      <c r="X209" s="67"/>
      <c r="AB209" s="68"/>
      <c r="AD209" s="71"/>
      <c r="AE209" s="71"/>
      <c r="AG209" s="71"/>
      <c r="AH209" s="73"/>
      <c r="AJ209" s="74"/>
      <c r="AL209" s="78"/>
      <c r="AM209" s="78"/>
      <c r="AO209" s="71"/>
      <c r="AR209" s="74"/>
      <c r="AW209" s="71"/>
      <c r="AZ209" s="74"/>
      <c r="BB209" s="71"/>
      <c r="BD209" s="71"/>
      <c r="BG209" s="74"/>
      <c r="BI209" s="71"/>
      <c r="BK209" s="71"/>
      <c r="BN209" s="74"/>
      <c r="BP209" s="71"/>
      <c r="BQ209" s="71"/>
      <c r="BR209" s="31"/>
      <c r="BS209" s="31"/>
      <c r="BV209" s="74"/>
      <c r="BX209" s="71"/>
      <c r="BY209" s="31"/>
      <c r="BZ209" s="31"/>
      <c r="CA209" s="31"/>
      <c r="CB209" s="31"/>
      <c r="CC209" s="110"/>
      <c r="CD209" s="111" t="s">
        <v>478</v>
      </c>
      <c r="CE209" s="92" t="s">
        <v>473</v>
      </c>
      <c r="CF209" s="96">
        <f>2.94/1000</f>
        <v>2.9399999999999999E-3</v>
      </c>
      <c r="CG209" s="92" t="s">
        <v>474</v>
      </c>
      <c r="CH209" s="98">
        <v>0.2</v>
      </c>
      <c r="CI209" s="98">
        <v>0.2</v>
      </c>
      <c r="CJ209" s="97" t="s">
        <v>454</v>
      </c>
      <c r="CK209" s="96">
        <f>4.8/1000</f>
        <v>4.7999999999999996E-3</v>
      </c>
      <c r="CL209" s="92" t="s">
        <v>475</v>
      </c>
      <c r="CM209" s="98">
        <v>0.2</v>
      </c>
      <c r="CN209" s="98">
        <v>0.2</v>
      </c>
      <c r="CO209" s="97" t="s">
        <v>454</v>
      </c>
      <c r="CP209" s="96">
        <f>0.000082/1000</f>
        <v>8.2000000000000006E-8</v>
      </c>
      <c r="CQ209" s="92" t="s">
        <v>476</v>
      </c>
      <c r="CR209" s="98">
        <v>0.1</v>
      </c>
      <c r="CS209" s="98">
        <v>10</v>
      </c>
      <c r="CT209" s="97" t="s">
        <v>454</v>
      </c>
      <c r="CU209" s="41"/>
      <c r="CV209" s="41"/>
      <c r="CW209" s="41"/>
      <c r="CX209" s="39"/>
      <c r="CY209" s="39"/>
      <c r="CZ209" s="41"/>
      <c r="DA209" s="41"/>
      <c r="DB209" s="41"/>
      <c r="DC209" s="41"/>
      <c r="DD209" s="39"/>
      <c r="DE209" s="39"/>
      <c r="DF209" s="41"/>
      <c r="DG209" s="41"/>
      <c r="DH209" s="41"/>
      <c r="DI209" s="42"/>
      <c r="DJ209" s="43">
        <v>0.05</v>
      </c>
      <c r="DK209" s="43">
        <f t="shared" si="301"/>
        <v>0.2</v>
      </c>
    </row>
    <row r="210" spans="24:115" s="30" customFormat="1" ht="28.15" thickBot="1">
      <c r="X210" s="67"/>
      <c r="AB210" s="68"/>
      <c r="AD210" s="71"/>
      <c r="AE210" s="71"/>
      <c r="AG210" s="71"/>
      <c r="AH210" s="73"/>
      <c r="AJ210" s="74"/>
      <c r="AL210" s="78"/>
      <c r="AM210" s="78"/>
      <c r="AO210" s="71"/>
      <c r="AR210" s="74"/>
      <c r="AW210" s="71"/>
      <c r="AZ210" s="74"/>
      <c r="BB210" s="71"/>
      <c r="BD210" s="71"/>
      <c r="BG210" s="74"/>
      <c r="BI210" s="71"/>
      <c r="BK210" s="71"/>
      <c r="BN210" s="74"/>
      <c r="BP210" s="71"/>
      <c r="BQ210" s="71"/>
      <c r="BR210" s="31"/>
      <c r="BS210" s="31"/>
      <c r="BV210" s="74"/>
      <c r="BX210" s="71"/>
      <c r="BY210" s="31"/>
      <c r="BZ210" s="31"/>
      <c r="CA210" s="31"/>
      <c r="CB210" s="31"/>
      <c r="CC210" s="110"/>
      <c r="CD210" s="111" t="s">
        <v>479</v>
      </c>
      <c r="CE210" s="92" t="s">
        <v>480</v>
      </c>
      <c r="CF210" s="96">
        <f>1.83/1000</f>
        <v>1.83E-3</v>
      </c>
      <c r="CG210" s="92" t="s">
        <v>474</v>
      </c>
      <c r="CH210" s="98">
        <v>0.1</v>
      </c>
      <c r="CI210" s="98">
        <v>0.1</v>
      </c>
      <c r="CJ210" s="97" t="s">
        <v>454</v>
      </c>
      <c r="CK210" s="96">
        <f>0.12/1000</f>
        <v>1.1999999999999999E-4</v>
      </c>
      <c r="CL210" s="92" t="s">
        <v>475</v>
      </c>
      <c r="CM210" s="98">
        <v>0.1</v>
      </c>
      <c r="CN210" s="98">
        <v>0.1</v>
      </c>
      <c r="CO210" s="97" t="s">
        <v>454</v>
      </c>
      <c r="CP210" s="96">
        <f>0.0000013/1000</f>
        <v>1.3000000000000001E-9</v>
      </c>
      <c r="CQ210" s="92" t="s">
        <v>476</v>
      </c>
      <c r="CR210" s="98">
        <v>0.1</v>
      </c>
      <c r="CS210" s="98">
        <v>10</v>
      </c>
      <c r="CT210" s="97" t="s">
        <v>454</v>
      </c>
      <c r="CU210" s="41"/>
      <c r="CV210" s="41"/>
      <c r="CW210" s="41"/>
      <c r="CX210" s="39"/>
      <c r="CY210" s="39"/>
      <c r="CZ210" s="41"/>
      <c r="DA210" s="41"/>
      <c r="DB210" s="41"/>
      <c r="DC210" s="41"/>
      <c r="DD210" s="39"/>
      <c r="DE210" s="39"/>
      <c r="DF210" s="41"/>
      <c r="DG210" s="41"/>
      <c r="DH210" s="41"/>
      <c r="DI210" s="42"/>
      <c r="DJ210" s="43">
        <v>0.05</v>
      </c>
      <c r="DK210" s="43">
        <f t="shared" si="301"/>
        <v>0.1</v>
      </c>
    </row>
    <row r="211" spans="24:115" s="30" customFormat="1" ht="28.15" thickBot="1">
      <c r="X211" s="67"/>
      <c r="AB211" s="68"/>
      <c r="AD211" s="71"/>
      <c r="AE211" s="71"/>
      <c r="AG211" s="71"/>
      <c r="AH211" s="73"/>
      <c r="AJ211" s="74"/>
      <c r="AL211" s="78"/>
      <c r="AM211" s="78"/>
      <c r="AO211" s="71"/>
      <c r="AR211" s="74"/>
      <c r="AW211" s="71"/>
      <c r="AZ211" s="74"/>
      <c r="BB211" s="71"/>
      <c r="BD211" s="71"/>
      <c r="BG211" s="74"/>
      <c r="BI211" s="71"/>
      <c r="BK211" s="71"/>
      <c r="BN211" s="74"/>
      <c r="BP211" s="71"/>
      <c r="BQ211" s="71"/>
      <c r="BR211" s="31"/>
      <c r="BS211" s="31"/>
      <c r="BV211" s="74"/>
      <c r="BX211" s="71"/>
      <c r="BY211" s="31"/>
      <c r="BZ211" s="31"/>
      <c r="CA211" s="31"/>
      <c r="CB211" s="31"/>
      <c r="CC211" s="110"/>
      <c r="CD211" s="111" t="s">
        <v>481</v>
      </c>
      <c r="CE211" s="92" t="s">
        <v>480</v>
      </c>
      <c r="CF211" s="96">
        <f>0.75/1000</f>
        <v>7.5000000000000002E-4</v>
      </c>
      <c r="CG211" s="92" t="s">
        <v>474</v>
      </c>
      <c r="CH211" s="98">
        <v>0.1</v>
      </c>
      <c r="CI211" s="98">
        <v>0.1</v>
      </c>
      <c r="CJ211" s="97" t="s">
        <v>454</v>
      </c>
      <c r="CK211" s="96">
        <f>9.45/1000</f>
        <v>9.4500000000000001E-3</v>
      </c>
      <c r="CL211" s="92" t="s">
        <v>475</v>
      </c>
      <c r="CM211" s="98">
        <v>0.1</v>
      </c>
      <c r="CN211" s="98">
        <v>0.1</v>
      </c>
      <c r="CO211" s="97" t="s">
        <v>454</v>
      </c>
      <c r="CP211" s="96">
        <f>0.0001/1000</f>
        <v>1.0000000000000001E-7</v>
      </c>
      <c r="CQ211" s="92" t="s">
        <v>476</v>
      </c>
      <c r="CR211" s="98">
        <v>0.1</v>
      </c>
      <c r="CS211" s="98">
        <v>10</v>
      </c>
      <c r="CT211" s="97" t="s">
        <v>454</v>
      </c>
      <c r="CU211" s="41"/>
      <c r="CV211" s="41"/>
      <c r="CW211" s="41"/>
      <c r="CX211" s="39"/>
      <c r="CY211" s="39"/>
      <c r="CZ211" s="41"/>
      <c r="DA211" s="41"/>
      <c r="DB211" s="41"/>
      <c r="DC211" s="41"/>
      <c r="DD211" s="39"/>
      <c r="DE211" s="39"/>
      <c r="DF211" s="41"/>
      <c r="DG211" s="41"/>
      <c r="DH211" s="41"/>
      <c r="DI211" s="42"/>
      <c r="DJ211" s="43">
        <v>0.05</v>
      </c>
      <c r="DK211" s="43">
        <f t="shared" si="301"/>
        <v>0.1</v>
      </c>
    </row>
    <row r="212" spans="24:115" s="30" customFormat="1" ht="28.15" thickBot="1">
      <c r="X212" s="67"/>
      <c r="AB212" s="68"/>
      <c r="AD212" s="71"/>
      <c r="AE212" s="71"/>
      <c r="AG212" s="71"/>
      <c r="AH212" s="73"/>
      <c r="AJ212" s="74"/>
      <c r="AL212" s="78"/>
      <c r="AM212" s="78"/>
      <c r="AO212" s="71"/>
      <c r="AR212" s="74"/>
      <c r="AW212" s="71"/>
      <c r="AZ212" s="74"/>
      <c r="BB212" s="71"/>
      <c r="BD212" s="71"/>
      <c r="BG212" s="74"/>
      <c r="BI212" s="71"/>
      <c r="BK212" s="71"/>
      <c r="BN212" s="74"/>
      <c r="BP212" s="71"/>
      <c r="BQ212" s="71"/>
      <c r="BR212" s="31"/>
      <c r="BS212" s="31"/>
      <c r="BV212" s="74"/>
      <c r="BX212" s="71"/>
      <c r="BY212" s="31"/>
      <c r="BZ212" s="31"/>
      <c r="CA212" s="31"/>
      <c r="CB212" s="31"/>
      <c r="CC212" s="110"/>
      <c r="CD212" s="111" t="s">
        <v>482</v>
      </c>
      <c r="CE212" s="92" t="s">
        <v>483</v>
      </c>
      <c r="CF212" s="96">
        <f>3.36/1000</f>
        <v>3.3599999999999997E-3</v>
      </c>
      <c r="CG212" s="92" t="s">
        <v>474</v>
      </c>
      <c r="CH212" s="98">
        <v>0.2</v>
      </c>
      <c r="CI212" s="98">
        <v>0.3</v>
      </c>
      <c r="CJ212" s="97" t="s">
        <v>454</v>
      </c>
      <c r="CK212" s="96">
        <f>0.23/1000</f>
        <v>2.3000000000000001E-4</v>
      </c>
      <c r="CL212" s="92" t="s">
        <v>475</v>
      </c>
      <c r="CM212" s="98">
        <v>0.2</v>
      </c>
      <c r="CN212" s="98">
        <v>0.3</v>
      </c>
      <c r="CO212" s="97" t="s">
        <v>454</v>
      </c>
      <c r="CP212" s="96">
        <v>0</v>
      </c>
      <c r="CQ212" s="92" t="s">
        <v>476</v>
      </c>
      <c r="CR212" s="98">
        <v>0</v>
      </c>
      <c r="CS212" s="98">
        <v>0</v>
      </c>
      <c r="CT212" s="97" t="s">
        <v>454</v>
      </c>
      <c r="CU212" s="41"/>
      <c r="CV212" s="41"/>
      <c r="CW212" s="41"/>
      <c r="CX212" s="39"/>
      <c r="CY212" s="39"/>
      <c r="CZ212" s="41"/>
      <c r="DA212" s="41"/>
      <c r="DB212" s="41"/>
      <c r="DC212" s="41"/>
      <c r="DD212" s="39"/>
      <c r="DE212" s="39"/>
      <c r="DF212" s="41"/>
      <c r="DG212" s="41"/>
      <c r="DH212" s="41"/>
      <c r="DI212" s="42"/>
      <c r="DJ212" s="43">
        <v>0.05</v>
      </c>
      <c r="DK212" s="43">
        <f t="shared" si="301"/>
        <v>0.3</v>
      </c>
    </row>
    <row r="213" spans="24:115" s="30" customFormat="1" ht="28.15" thickBot="1">
      <c r="X213" s="67"/>
      <c r="AB213" s="68"/>
      <c r="AD213" s="71"/>
      <c r="AE213" s="71"/>
      <c r="AG213" s="71"/>
      <c r="AH213" s="73"/>
      <c r="AJ213" s="74"/>
      <c r="AL213" s="78"/>
      <c r="AM213" s="78"/>
      <c r="AO213" s="71"/>
      <c r="AR213" s="74"/>
      <c r="AW213" s="71"/>
      <c r="AZ213" s="74"/>
      <c r="BB213" s="71"/>
      <c r="BD213" s="71"/>
      <c r="BG213" s="74"/>
      <c r="BI213" s="71"/>
      <c r="BK213" s="71"/>
      <c r="BN213" s="74"/>
      <c r="BP213" s="71"/>
      <c r="BQ213" s="71"/>
      <c r="BR213" s="31"/>
      <c r="BS213" s="31"/>
      <c r="BV213" s="74"/>
      <c r="BX213" s="71"/>
      <c r="BY213" s="31"/>
      <c r="BZ213" s="31"/>
      <c r="CA213" s="31"/>
      <c r="CB213" s="31"/>
      <c r="CC213" s="110"/>
      <c r="CD213" s="111" t="s">
        <v>484</v>
      </c>
      <c r="CE213" s="92" t="s">
        <v>483</v>
      </c>
      <c r="CF213" s="96">
        <f>1.29/1000</f>
        <v>1.2900000000000001E-3</v>
      </c>
      <c r="CG213" s="92" t="s">
        <v>474</v>
      </c>
      <c r="CH213" s="98">
        <v>0.2</v>
      </c>
      <c r="CI213" s="98">
        <v>0.3</v>
      </c>
      <c r="CJ213" s="97" t="s">
        <v>454</v>
      </c>
      <c r="CK213" s="96">
        <f>0.15/1000</f>
        <v>1.4999999999999999E-4</v>
      </c>
      <c r="CL213" s="92" t="s">
        <v>475</v>
      </c>
      <c r="CM213" s="98">
        <v>0.2</v>
      </c>
      <c r="CN213" s="98">
        <v>0.3</v>
      </c>
      <c r="CO213" s="97" t="s">
        <v>454</v>
      </c>
      <c r="CP213" s="96">
        <v>0</v>
      </c>
      <c r="CQ213" s="92" t="s">
        <v>476</v>
      </c>
      <c r="CR213" s="98">
        <v>0</v>
      </c>
      <c r="CS213" s="98">
        <v>0</v>
      </c>
      <c r="CT213" s="97" t="s">
        <v>454</v>
      </c>
      <c r="CU213" s="41"/>
      <c r="CV213" s="41"/>
      <c r="CW213" s="41"/>
      <c r="CX213" s="39"/>
      <c r="CY213" s="39"/>
      <c r="CZ213" s="41"/>
      <c r="DA213" s="41"/>
      <c r="DB213" s="41"/>
      <c r="DC213" s="41"/>
      <c r="DD213" s="39"/>
      <c r="DE213" s="39"/>
      <c r="DF213" s="41"/>
      <c r="DG213" s="41"/>
      <c r="DH213" s="41"/>
      <c r="DI213" s="42"/>
      <c r="DJ213" s="43">
        <v>0.05</v>
      </c>
      <c r="DK213" s="43">
        <f t="shared" si="301"/>
        <v>0.3</v>
      </c>
    </row>
    <row r="214" spans="24:115" s="30" customFormat="1" ht="28.15" thickBot="1">
      <c r="X214" s="67"/>
      <c r="AB214" s="68"/>
      <c r="AD214" s="71"/>
      <c r="AE214" s="71"/>
      <c r="AG214" s="71"/>
      <c r="AH214" s="73"/>
      <c r="AJ214" s="74"/>
      <c r="AL214" s="78"/>
      <c r="AM214" s="78"/>
      <c r="AO214" s="71"/>
      <c r="AR214" s="74"/>
      <c r="AW214" s="71"/>
      <c r="AZ214" s="74"/>
      <c r="BB214" s="71"/>
      <c r="BD214" s="71"/>
      <c r="BG214" s="74"/>
      <c r="BI214" s="71"/>
      <c r="BK214" s="71"/>
      <c r="BN214" s="74"/>
      <c r="BP214" s="71"/>
      <c r="BQ214" s="71"/>
      <c r="BR214" s="31"/>
      <c r="BS214" s="31"/>
      <c r="BV214" s="74"/>
      <c r="BX214" s="71"/>
      <c r="BY214" s="31"/>
      <c r="BZ214" s="31"/>
      <c r="CA214" s="31"/>
      <c r="CB214" s="31"/>
      <c r="CC214" s="110"/>
      <c r="CD214" s="111" t="s">
        <v>485</v>
      </c>
      <c r="CE214" s="92" t="s">
        <v>486</v>
      </c>
      <c r="CF214" s="96">
        <f>0.67/1000</f>
        <v>6.7000000000000002E-4</v>
      </c>
      <c r="CG214" s="92" t="s">
        <v>474</v>
      </c>
      <c r="CH214" s="98">
        <v>0.2</v>
      </c>
      <c r="CI214" s="98">
        <v>0.3</v>
      </c>
      <c r="CJ214" s="97" t="s">
        <v>454</v>
      </c>
      <c r="CK214" s="96">
        <f>0.06/1000</f>
        <v>5.9999999999999995E-5</v>
      </c>
      <c r="CL214" s="92" t="s">
        <v>475</v>
      </c>
      <c r="CM214" s="98">
        <v>0.2</v>
      </c>
      <c r="CN214" s="98">
        <v>0.3</v>
      </c>
      <c r="CO214" s="97" t="s">
        <v>454</v>
      </c>
      <c r="CP214" s="96">
        <v>0</v>
      </c>
      <c r="CQ214" s="92" t="s">
        <v>476</v>
      </c>
      <c r="CR214" s="98">
        <v>0</v>
      </c>
      <c r="CS214" s="98">
        <v>0</v>
      </c>
      <c r="CT214" s="97" t="s">
        <v>454</v>
      </c>
      <c r="CU214" s="41"/>
      <c r="CV214" s="41"/>
      <c r="CW214" s="41"/>
      <c r="CX214" s="39"/>
      <c r="CY214" s="39"/>
      <c r="CZ214" s="41"/>
      <c r="DA214" s="41"/>
      <c r="DB214" s="41"/>
      <c r="DC214" s="41"/>
      <c r="DD214" s="39"/>
      <c r="DE214" s="39"/>
      <c r="DF214" s="41"/>
      <c r="DG214" s="41"/>
      <c r="DH214" s="41"/>
      <c r="DI214" s="42"/>
      <c r="DJ214" s="43">
        <v>0.05</v>
      </c>
      <c r="DK214" s="43">
        <f t="shared" ref="DK214:DK215" si="302">CI214</f>
        <v>0.3</v>
      </c>
    </row>
    <row r="215" spans="24:115" s="30" customFormat="1" ht="28.15" thickBot="1">
      <c r="X215" s="67"/>
      <c r="AB215" s="68"/>
      <c r="AD215" s="71"/>
      <c r="AE215" s="71"/>
      <c r="AG215" s="71"/>
      <c r="AH215" s="73"/>
      <c r="AJ215" s="74"/>
      <c r="AL215" s="78"/>
      <c r="AM215" s="78"/>
      <c r="AO215" s="71"/>
      <c r="AR215" s="74"/>
      <c r="AW215" s="71"/>
      <c r="AZ215" s="74"/>
      <c r="BB215" s="71"/>
      <c r="BD215" s="71"/>
      <c r="BG215" s="74"/>
      <c r="BI215" s="71"/>
      <c r="BK215" s="71"/>
      <c r="BN215" s="74"/>
      <c r="BP215" s="71"/>
      <c r="BQ215" s="71"/>
      <c r="BR215" s="31"/>
      <c r="BS215" s="31"/>
      <c r="BV215" s="74"/>
      <c r="BX215" s="71"/>
      <c r="BY215" s="31"/>
      <c r="BZ215" s="31"/>
      <c r="CA215" s="31"/>
      <c r="CB215" s="31"/>
      <c r="CC215" s="110"/>
      <c r="CD215" s="111" t="s">
        <v>487</v>
      </c>
      <c r="CE215" s="92" t="s">
        <v>486</v>
      </c>
      <c r="CF215" s="96">
        <f>0.29/1000</f>
        <v>2.9E-4</v>
      </c>
      <c r="CG215" s="92" t="s">
        <v>474</v>
      </c>
      <c r="CH215" s="98">
        <v>0.2</v>
      </c>
      <c r="CI215" s="98">
        <v>0.3</v>
      </c>
      <c r="CJ215" s="97" t="s">
        <v>454</v>
      </c>
      <c r="CK215" s="96">
        <f>0.04/1000</f>
        <v>4.0000000000000003E-5</v>
      </c>
      <c r="CL215" s="92" t="s">
        <v>475</v>
      </c>
      <c r="CM215" s="98">
        <v>0.2</v>
      </c>
      <c r="CN215" s="98">
        <v>0.3</v>
      </c>
      <c r="CO215" s="97" t="s">
        <v>454</v>
      </c>
      <c r="CP215" s="96">
        <v>0</v>
      </c>
      <c r="CQ215" s="92" t="s">
        <v>476</v>
      </c>
      <c r="CR215" s="98">
        <v>0</v>
      </c>
      <c r="CS215" s="98">
        <v>0</v>
      </c>
      <c r="CT215" s="97" t="s">
        <v>454</v>
      </c>
      <c r="CU215" s="41"/>
      <c r="CV215" s="41"/>
      <c r="CW215" s="41"/>
      <c r="CX215" s="39"/>
      <c r="CY215" s="39"/>
      <c r="CZ215" s="41"/>
      <c r="DA215" s="41"/>
      <c r="DB215" s="41"/>
      <c r="DC215" s="41"/>
      <c r="DD215" s="39"/>
      <c r="DE215" s="39"/>
      <c r="DF215" s="41"/>
      <c r="DG215" s="41"/>
      <c r="DH215" s="41"/>
      <c r="DI215" s="42"/>
      <c r="DJ215" s="43">
        <v>0.05</v>
      </c>
      <c r="DK215" s="43">
        <f t="shared" si="302"/>
        <v>0.3</v>
      </c>
    </row>
    <row r="216" spans="24:115" s="30" customFormat="1" ht="28.15" thickBot="1">
      <c r="X216" s="67"/>
      <c r="AB216" s="68"/>
      <c r="AD216" s="71"/>
      <c r="AE216" s="71"/>
      <c r="AG216" s="71"/>
      <c r="AH216" s="73"/>
      <c r="AJ216" s="74"/>
      <c r="AL216" s="78"/>
      <c r="AM216" s="78"/>
      <c r="AO216" s="71"/>
      <c r="AR216" s="74"/>
      <c r="AW216" s="71"/>
      <c r="AZ216" s="74"/>
      <c r="BB216" s="71"/>
      <c r="BD216" s="71"/>
      <c r="BG216" s="74"/>
      <c r="BI216" s="71"/>
      <c r="BK216" s="71"/>
      <c r="BN216" s="74"/>
      <c r="BP216" s="71"/>
      <c r="BQ216" s="71"/>
      <c r="BR216" s="31"/>
      <c r="BS216" s="31"/>
      <c r="BV216" s="74"/>
      <c r="BX216" s="71"/>
      <c r="BY216" s="31"/>
      <c r="BZ216" s="31"/>
      <c r="CA216" s="31"/>
      <c r="CB216" s="31"/>
      <c r="CC216" s="110"/>
      <c r="CD216" s="111" t="s">
        <v>488</v>
      </c>
      <c r="CE216" s="92" t="s">
        <v>489</v>
      </c>
      <c r="CF216" s="96">
        <f>2.92/1000</f>
        <v>2.9199999999999999E-3</v>
      </c>
      <c r="CG216" s="92" t="s">
        <v>474</v>
      </c>
      <c r="CH216" s="98">
        <v>0.2</v>
      </c>
      <c r="CI216" s="98">
        <v>1.2</v>
      </c>
      <c r="CJ216" s="97" t="s">
        <v>454</v>
      </c>
      <c r="CK216" s="96">
        <f>0.09/1000</f>
        <v>8.9999999999999992E-5</v>
      </c>
      <c r="CL216" s="92" t="s">
        <v>475</v>
      </c>
      <c r="CM216" s="98">
        <v>0.2</v>
      </c>
      <c r="CN216" s="98">
        <v>1.2</v>
      </c>
      <c r="CO216" s="97" t="s">
        <v>454</v>
      </c>
      <c r="CP216" s="96">
        <v>0</v>
      </c>
      <c r="CQ216" s="92" t="s">
        <v>476</v>
      </c>
      <c r="CR216" s="98">
        <v>0</v>
      </c>
      <c r="CS216" s="98">
        <v>0</v>
      </c>
      <c r="CT216" s="97" t="s">
        <v>454</v>
      </c>
      <c r="CU216" s="41"/>
      <c r="CV216" s="41"/>
      <c r="CW216" s="41"/>
      <c r="CX216" s="39"/>
      <c r="CY216" s="39"/>
      <c r="CZ216" s="41"/>
      <c r="DA216" s="41"/>
      <c r="DB216" s="41"/>
      <c r="DC216" s="41"/>
      <c r="DD216" s="39"/>
      <c r="DE216" s="39"/>
      <c r="DF216" s="41"/>
      <c r="DG216" s="41"/>
      <c r="DH216" s="41"/>
      <c r="DI216" s="42"/>
      <c r="DJ216" s="43">
        <v>0.05</v>
      </c>
      <c r="DK216" s="43">
        <f t="shared" si="301"/>
        <v>1.2</v>
      </c>
    </row>
    <row r="217" spans="24:115" s="30" customFormat="1" ht="28.15" thickBot="1">
      <c r="X217" s="67"/>
      <c r="AB217" s="68"/>
      <c r="AD217" s="71"/>
      <c r="AE217" s="71"/>
      <c r="AG217" s="71"/>
      <c r="AH217" s="73"/>
      <c r="AJ217" s="74"/>
      <c r="AL217" s="78"/>
      <c r="AM217" s="78"/>
      <c r="AO217" s="71"/>
      <c r="AR217" s="74"/>
      <c r="AW217" s="71"/>
      <c r="AZ217" s="74"/>
      <c r="BB217" s="71"/>
      <c r="BD217" s="71"/>
      <c r="BG217" s="74"/>
      <c r="BI217" s="71"/>
      <c r="BK217" s="71"/>
      <c r="BN217" s="74"/>
      <c r="BP217" s="71"/>
      <c r="BQ217" s="71"/>
      <c r="BR217" s="31"/>
      <c r="BS217" s="31"/>
      <c r="BV217" s="74"/>
      <c r="BX217" s="71"/>
      <c r="BY217" s="31"/>
      <c r="BZ217" s="31"/>
      <c r="CA217" s="31"/>
      <c r="CB217" s="31"/>
      <c r="CC217" s="110"/>
      <c r="CD217" s="111" t="s">
        <v>490</v>
      </c>
      <c r="CE217" s="92" t="s">
        <v>489</v>
      </c>
      <c r="CF217" s="96">
        <f>0.62/1000</f>
        <v>6.2E-4</v>
      </c>
      <c r="CG217" s="92" t="s">
        <v>474</v>
      </c>
      <c r="CH217" s="98">
        <v>0.2</v>
      </c>
      <c r="CI217" s="98">
        <v>1.2</v>
      </c>
      <c r="CJ217" s="97" t="s">
        <v>454</v>
      </c>
      <c r="CK217" s="96">
        <f>0.02/1000</f>
        <v>2.0000000000000002E-5</v>
      </c>
      <c r="CL217" s="92" t="s">
        <v>475</v>
      </c>
      <c r="CM217" s="98">
        <v>0.2</v>
      </c>
      <c r="CN217" s="98">
        <v>1.2</v>
      </c>
      <c r="CO217" s="97" t="s">
        <v>454</v>
      </c>
      <c r="CP217" s="96">
        <v>0</v>
      </c>
      <c r="CQ217" s="92" t="s">
        <v>476</v>
      </c>
      <c r="CR217" s="98">
        <v>0</v>
      </c>
      <c r="CS217" s="98">
        <v>0</v>
      </c>
      <c r="CT217" s="97" t="s">
        <v>454</v>
      </c>
      <c r="CU217" s="41"/>
      <c r="CV217" s="41"/>
      <c r="CW217" s="41"/>
      <c r="CX217" s="39"/>
      <c r="CY217" s="39"/>
      <c r="CZ217" s="41"/>
      <c r="DA217" s="41"/>
      <c r="DB217" s="41"/>
      <c r="DC217" s="41"/>
      <c r="DD217" s="39"/>
      <c r="DE217" s="39"/>
      <c r="DF217" s="41"/>
      <c r="DG217" s="41"/>
      <c r="DH217" s="41"/>
      <c r="DI217" s="42"/>
      <c r="DJ217" s="43">
        <v>0.05</v>
      </c>
      <c r="DK217" s="43">
        <f t="shared" si="296"/>
        <v>1.2</v>
      </c>
    </row>
    <row r="218" spans="24:115" s="30" customFormat="1" ht="30.4" thickBot="1">
      <c r="X218" s="67"/>
      <c r="AB218" s="68"/>
      <c r="AD218" s="71"/>
      <c r="AE218" s="71"/>
      <c r="AG218" s="71"/>
      <c r="AH218" s="73"/>
      <c r="AJ218" s="74"/>
      <c r="AL218" s="78"/>
      <c r="AM218" s="78"/>
      <c r="AO218" s="71"/>
      <c r="AR218" s="74"/>
      <c r="AW218" s="71"/>
      <c r="AZ218" s="74"/>
      <c r="BB218" s="71"/>
      <c r="BD218" s="71"/>
      <c r="BG218" s="74"/>
      <c r="BI218" s="71"/>
      <c r="BK218" s="71"/>
      <c r="BN218" s="74"/>
      <c r="BP218" s="71"/>
      <c r="BQ218" s="71"/>
      <c r="BR218" s="31"/>
      <c r="BS218" s="31"/>
      <c r="BV218" s="74"/>
      <c r="BX218" s="71"/>
      <c r="BY218" s="31"/>
      <c r="BZ218" s="31"/>
      <c r="CA218" s="31"/>
      <c r="CB218" s="31"/>
      <c r="CC218" s="110"/>
      <c r="CD218" s="111" t="s">
        <v>491</v>
      </c>
      <c r="CE218" s="111" t="s">
        <v>492</v>
      </c>
      <c r="CF218" s="96">
        <v>1.27</v>
      </c>
      <c r="CG218" s="92" t="s">
        <v>493</v>
      </c>
      <c r="CH218" s="98">
        <v>0.4</v>
      </c>
      <c r="CI218" s="98">
        <v>0.7</v>
      </c>
      <c r="CJ218" s="97" t="s">
        <v>494</v>
      </c>
      <c r="CK218" s="39"/>
      <c r="CL218" s="29"/>
      <c r="CM218" s="29"/>
      <c r="CN218" s="39"/>
      <c r="CO218" s="39"/>
      <c r="CP218" s="39"/>
      <c r="CQ218" s="41"/>
      <c r="CR218" s="39"/>
      <c r="CS218" s="96"/>
      <c r="CT218" s="92"/>
      <c r="CU218" s="41"/>
      <c r="CV218" s="41"/>
      <c r="CW218" s="41"/>
      <c r="CX218" s="39"/>
      <c r="CY218" s="39"/>
      <c r="CZ218" s="41"/>
      <c r="DA218" s="41"/>
      <c r="DB218" s="41"/>
      <c r="DC218" s="41"/>
      <c r="DD218" s="39"/>
      <c r="DE218" s="39"/>
      <c r="DF218" s="41"/>
      <c r="DG218" s="41"/>
      <c r="DH218" s="41"/>
      <c r="DI218" s="42"/>
      <c r="DJ218" s="43"/>
      <c r="DK218" s="43"/>
    </row>
    <row r="219" spans="24:115" s="30" customFormat="1" ht="16.149999999999999" thickBot="1">
      <c r="X219" s="67"/>
      <c r="AB219" s="68"/>
      <c r="AD219" s="71"/>
      <c r="AE219" s="71"/>
      <c r="AG219" s="71"/>
      <c r="AH219" s="73"/>
      <c r="AJ219" s="74"/>
      <c r="AL219" s="78"/>
      <c r="AM219" s="78"/>
      <c r="AO219" s="71"/>
      <c r="AR219" s="74"/>
      <c r="AW219" s="71"/>
      <c r="AZ219" s="74"/>
      <c r="BB219" s="71"/>
      <c r="BD219" s="71"/>
      <c r="BG219" s="74"/>
      <c r="BI219" s="71"/>
      <c r="BK219" s="71"/>
      <c r="BN219" s="74"/>
      <c r="BP219" s="71"/>
      <c r="BQ219" s="71"/>
      <c r="BS219" s="71"/>
      <c r="BV219" s="74"/>
      <c r="BX219" s="71"/>
      <c r="BZ219" s="71"/>
      <c r="CC219" s="110" t="s">
        <v>495</v>
      </c>
      <c r="CD219" s="111" t="s">
        <v>496</v>
      </c>
      <c r="CE219" s="111" t="s">
        <v>497</v>
      </c>
      <c r="CF219" s="96">
        <v>141.1</v>
      </c>
      <c r="CG219" s="92" t="s">
        <v>498</v>
      </c>
      <c r="CH219" s="98">
        <v>0.9</v>
      </c>
      <c r="CI219" s="98">
        <v>1.06</v>
      </c>
      <c r="CJ219" s="97" t="s">
        <v>494</v>
      </c>
      <c r="CK219" s="39"/>
      <c r="CL219" s="29"/>
      <c r="CM219" s="29"/>
      <c r="CN219" s="39"/>
      <c r="CO219" s="39"/>
      <c r="CP219" s="39"/>
      <c r="CQ219" s="41"/>
      <c r="CR219" s="39"/>
      <c r="CS219" s="96">
        <v>20.94</v>
      </c>
      <c r="CT219" s="92" t="s">
        <v>499</v>
      </c>
      <c r="CU219" s="41"/>
      <c r="CV219" s="41"/>
      <c r="CW219" s="41"/>
      <c r="CX219" s="39"/>
      <c r="CY219" s="39"/>
      <c r="CZ219" s="41"/>
      <c r="DA219" s="41"/>
      <c r="DB219" s="41"/>
      <c r="DC219" s="41"/>
      <c r="DD219" s="39"/>
      <c r="DE219" s="39"/>
      <c r="DF219" s="41"/>
      <c r="DG219" s="41"/>
      <c r="DH219" s="41"/>
      <c r="DI219" s="42"/>
      <c r="DJ219" s="43">
        <v>0.9</v>
      </c>
      <c r="DK219" s="43">
        <f t="shared" ref="DK219" si="303">CI219</f>
        <v>1.06</v>
      </c>
    </row>
    <row r="220" spans="24:115" s="30" customFormat="1" ht="28.15" thickBot="1">
      <c r="X220" s="67"/>
      <c r="AB220" s="68"/>
      <c r="AD220" s="71"/>
      <c r="AE220" s="71"/>
      <c r="AG220" s="71"/>
      <c r="AH220" s="73"/>
      <c r="AJ220" s="74"/>
      <c r="AL220" s="78"/>
      <c r="AM220" s="78"/>
      <c r="AO220" s="71"/>
      <c r="AR220" s="74"/>
      <c r="AW220" s="71"/>
      <c r="AZ220" s="74"/>
      <c r="BB220" s="71"/>
      <c r="BD220" s="71"/>
      <c r="BG220" s="74"/>
      <c r="BI220" s="71"/>
      <c r="BK220" s="71"/>
      <c r="BN220" s="74"/>
      <c r="BP220" s="71"/>
      <c r="BQ220" s="71"/>
      <c r="BS220" s="71"/>
      <c r="BV220" s="74"/>
      <c r="BX220" s="71"/>
      <c r="BZ220" s="71"/>
      <c r="CC220" s="110" t="s">
        <v>495</v>
      </c>
      <c r="CD220" s="111" t="s">
        <v>500</v>
      </c>
      <c r="CE220" s="111" t="s">
        <v>497</v>
      </c>
      <c r="CF220" s="96">
        <v>30</v>
      </c>
      <c r="CG220" s="92" t="s">
        <v>498</v>
      </c>
      <c r="CH220" s="98">
        <v>0.9</v>
      </c>
      <c r="CI220" s="98">
        <v>1.06</v>
      </c>
      <c r="CJ220" s="97" t="s">
        <v>494</v>
      </c>
      <c r="CK220" s="39"/>
      <c r="CL220" s="29"/>
      <c r="CM220" s="29"/>
      <c r="CN220" s="39"/>
      <c r="CO220" s="39"/>
      <c r="CP220" s="39"/>
      <c r="CQ220" s="41"/>
      <c r="CR220" s="39"/>
      <c r="CS220" s="96">
        <v>20.94</v>
      </c>
      <c r="CT220" s="92" t="s">
        <v>499</v>
      </c>
      <c r="CU220" s="41"/>
      <c r="CV220" s="41"/>
      <c r="CW220" s="41"/>
      <c r="CX220" s="39"/>
      <c r="CY220" s="39"/>
      <c r="CZ220" s="41"/>
      <c r="DA220" s="41"/>
      <c r="DB220" s="41"/>
      <c r="DC220" s="41"/>
      <c r="DD220" s="39"/>
      <c r="DE220" s="39"/>
      <c r="DF220" s="41"/>
      <c r="DG220" s="41"/>
      <c r="DH220" s="41"/>
      <c r="DI220" s="42"/>
      <c r="DJ220" s="43">
        <v>0.9</v>
      </c>
      <c r="DK220" s="43">
        <f t="shared" ref="DK220:DK221" si="304">CI220</f>
        <v>1.06</v>
      </c>
    </row>
    <row r="221" spans="24:115" s="30" customFormat="1" ht="28.15" thickBot="1">
      <c r="X221" s="67"/>
      <c r="AB221" s="68"/>
      <c r="AD221" s="71"/>
      <c r="AE221" s="71"/>
      <c r="AG221" s="71"/>
      <c r="AH221" s="73"/>
      <c r="AJ221" s="74"/>
      <c r="AL221" s="78"/>
      <c r="AM221" s="78"/>
      <c r="AO221" s="71"/>
      <c r="AR221" s="74"/>
      <c r="AW221" s="71"/>
      <c r="AZ221" s="74"/>
      <c r="BB221" s="71"/>
      <c r="BD221" s="71"/>
      <c r="BG221" s="74"/>
      <c r="BI221" s="71"/>
      <c r="BK221" s="71"/>
      <c r="BN221" s="74"/>
      <c r="BP221" s="71"/>
      <c r="BQ221" s="71"/>
      <c r="BS221" s="71"/>
      <c r="BV221" s="74"/>
      <c r="BX221" s="71"/>
      <c r="BZ221" s="71"/>
      <c r="CC221" s="110" t="s">
        <v>495</v>
      </c>
      <c r="CD221" s="111" t="s">
        <v>501</v>
      </c>
      <c r="CE221" s="111" t="s">
        <v>497</v>
      </c>
      <c r="CF221" s="96">
        <v>183</v>
      </c>
      <c r="CG221" s="92" t="s">
        <v>498</v>
      </c>
      <c r="CH221" s="98">
        <v>0.9</v>
      </c>
      <c r="CI221" s="98">
        <v>1.06</v>
      </c>
      <c r="CJ221" s="97" t="s">
        <v>494</v>
      </c>
      <c r="CK221" s="39"/>
      <c r="CL221" s="29"/>
      <c r="CM221" s="29"/>
      <c r="CN221" s="39"/>
      <c r="CO221" s="39"/>
      <c r="CP221" s="39"/>
      <c r="CQ221" s="41"/>
      <c r="CR221" s="39"/>
      <c r="CS221" s="96">
        <v>20.94</v>
      </c>
      <c r="CT221" s="92" t="s">
        <v>499</v>
      </c>
      <c r="CU221" s="41"/>
      <c r="CV221" s="41"/>
      <c r="CW221" s="41"/>
      <c r="CX221" s="39"/>
      <c r="CY221" s="39"/>
      <c r="CZ221" s="41"/>
      <c r="DA221" s="41"/>
      <c r="DB221" s="41"/>
      <c r="DC221" s="41"/>
      <c r="DD221" s="39"/>
      <c r="DE221" s="39"/>
      <c r="DF221" s="41"/>
      <c r="DG221" s="41"/>
      <c r="DH221" s="41"/>
      <c r="DI221" s="42"/>
      <c r="DJ221" s="43">
        <v>0.9</v>
      </c>
      <c r="DK221" s="43">
        <f t="shared" si="304"/>
        <v>1.06</v>
      </c>
    </row>
    <row r="222" spans="24:115" s="30" customFormat="1" ht="16.149999999999999" thickBot="1">
      <c r="X222" s="67"/>
      <c r="AB222" s="68"/>
      <c r="AD222" s="71"/>
      <c r="AE222" s="71"/>
      <c r="AG222" s="71"/>
      <c r="AH222" s="73"/>
      <c r="AJ222" s="74"/>
      <c r="AL222" s="78"/>
      <c r="AM222" s="78"/>
      <c r="AO222" s="71"/>
      <c r="AR222" s="74"/>
      <c r="AW222" s="71"/>
      <c r="AZ222" s="74"/>
      <c r="BB222" s="71"/>
      <c r="BD222" s="71"/>
      <c r="BG222" s="74"/>
      <c r="BI222" s="71"/>
      <c r="BK222" s="71"/>
      <c r="BN222" s="74"/>
      <c r="BP222" s="71"/>
      <c r="BQ222" s="71"/>
      <c r="BS222" s="71"/>
      <c r="BV222" s="74"/>
      <c r="BX222" s="71"/>
      <c r="BZ222" s="71"/>
      <c r="CC222" s="110" t="s">
        <v>495</v>
      </c>
      <c r="CD222" s="111" t="s">
        <v>502</v>
      </c>
      <c r="CE222" s="111" t="s">
        <v>497</v>
      </c>
      <c r="CF222" s="96">
        <v>416</v>
      </c>
      <c r="CG222" s="92" t="s">
        <v>498</v>
      </c>
      <c r="CH222" s="98">
        <v>0.9</v>
      </c>
      <c r="CI222" s="98">
        <v>1.06</v>
      </c>
      <c r="CJ222" s="97" t="s">
        <v>494</v>
      </c>
      <c r="CK222" s="39"/>
      <c r="CL222" s="29"/>
      <c r="CM222" s="29"/>
      <c r="CN222" s="39"/>
      <c r="CO222" s="39"/>
      <c r="CP222" s="39"/>
      <c r="CQ222" s="41"/>
      <c r="CR222" s="39"/>
      <c r="CS222" s="96">
        <v>20.94</v>
      </c>
      <c r="CT222" s="92" t="s">
        <v>499</v>
      </c>
      <c r="CU222" s="41"/>
      <c r="CV222" s="41"/>
      <c r="CW222" s="41"/>
      <c r="CX222" s="39"/>
      <c r="CY222" s="39"/>
      <c r="CZ222" s="41"/>
      <c r="DA222" s="41"/>
      <c r="DB222" s="41"/>
      <c r="DC222" s="41"/>
      <c r="DD222" s="39"/>
      <c r="DE222" s="39"/>
      <c r="DF222" s="41"/>
      <c r="DG222" s="41"/>
      <c r="DH222" s="41"/>
      <c r="DI222" s="42"/>
      <c r="DJ222" s="43">
        <v>0.9</v>
      </c>
      <c r="DK222" s="43">
        <f t="shared" si="296"/>
        <v>1.06</v>
      </c>
    </row>
    <row r="223" spans="24:115" s="30" customFormat="1" ht="16.149999999999999" thickBot="1">
      <c r="X223" s="67"/>
      <c r="AB223" s="68"/>
      <c r="AD223" s="71"/>
      <c r="AE223" s="71"/>
      <c r="AG223" s="71"/>
      <c r="AH223" s="73"/>
      <c r="AJ223" s="74"/>
      <c r="AL223" s="78"/>
      <c r="AM223" s="78"/>
      <c r="AO223" s="71"/>
      <c r="AR223" s="74"/>
      <c r="AW223" s="71"/>
      <c r="AZ223" s="74"/>
      <c r="BB223" s="71"/>
      <c r="BD223" s="71"/>
      <c r="BG223" s="74"/>
      <c r="BI223" s="71"/>
      <c r="BK223" s="71"/>
      <c r="BN223" s="74"/>
      <c r="BP223" s="71"/>
      <c r="BQ223" s="71"/>
      <c r="BS223" s="71"/>
      <c r="BV223" s="74"/>
      <c r="BX223" s="71"/>
      <c r="BZ223" s="71"/>
      <c r="CB223" s="31"/>
      <c r="CC223" s="110" t="s">
        <v>503</v>
      </c>
      <c r="CD223" s="111" t="s">
        <v>504</v>
      </c>
      <c r="CE223" s="111" t="s">
        <v>217</v>
      </c>
      <c r="CF223" s="96">
        <v>8.8999999999999996E-2</v>
      </c>
      <c r="CG223" s="92" t="s">
        <v>453</v>
      </c>
      <c r="CH223" s="98">
        <v>4</v>
      </c>
      <c r="CI223" s="98">
        <v>4</v>
      </c>
      <c r="CJ223" s="97" t="s">
        <v>454</v>
      </c>
      <c r="CK223" s="96">
        <v>510</v>
      </c>
      <c r="CL223" s="92" t="s">
        <v>455</v>
      </c>
      <c r="CM223" s="98">
        <v>0.1</v>
      </c>
      <c r="CN223" s="98">
        <v>0.1</v>
      </c>
      <c r="CO223" s="97" t="s">
        <v>454</v>
      </c>
      <c r="CP223" s="96">
        <v>0</v>
      </c>
      <c r="CQ223" s="92" t="s">
        <v>456</v>
      </c>
      <c r="CR223" s="98">
        <v>0</v>
      </c>
      <c r="CS223" s="98">
        <v>0</v>
      </c>
      <c r="CT223" s="97" t="s">
        <v>454</v>
      </c>
      <c r="CU223" s="41"/>
      <c r="CV223" s="41"/>
      <c r="CW223" s="41"/>
      <c r="CX223" s="39"/>
      <c r="CY223" s="39"/>
      <c r="CZ223" s="41"/>
      <c r="DA223" s="41"/>
      <c r="DB223" s="41"/>
      <c r="DC223" s="41"/>
      <c r="DD223" s="39"/>
      <c r="DE223" s="39"/>
      <c r="DF223" s="41"/>
      <c r="DG223" s="41"/>
      <c r="DH223" s="41"/>
      <c r="DI223" s="42"/>
      <c r="DJ223" s="43">
        <v>0.02</v>
      </c>
      <c r="DK223" s="43">
        <f t="shared" si="296"/>
        <v>4</v>
      </c>
    </row>
    <row r="224" spans="24:115" s="30" customFormat="1" ht="16.149999999999999" thickBot="1">
      <c r="X224" s="67"/>
      <c r="AB224" s="68"/>
      <c r="AD224" s="71"/>
      <c r="AE224" s="71"/>
      <c r="AG224" s="71"/>
      <c r="AH224" s="73"/>
      <c r="AJ224" s="74"/>
      <c r="AL224" s="78"/>
      <c r="AM224" s="78"/>
      <c r="AO224" s="71"/>
      <c r="AR224" s="74"/>
      <c r="AW224" s="71"/>
      <c r="AZ224" s="74"/>
      <c r="BB224" s="71"/>
      <c r="BD224" s="71"/>
      <c r="BG224" s="74"/>
      <c r="BI224" s="71"/>
      <c r="BK224" s="71"/>
      <c r="BN224" s="74"/>
      <c r="BP224" s="71"/>
      <c r="BQ224" s="71"/>
      <c r="BS224" s="71"/>
      <c r="BV224" s="74"/>
      <c r="BX224" s="71"/>
      <c r="BZ224" s="71"/>
      <c r="CC224" s="110" t="s">
        <v>503</v>
      </c>
      <c r="CD224" s="111" t="s">
        <v>505</v>
      </c>
      <c r="CE224" s="111" t="s">
        <v>217</v>
      </c>
      <c r="CF224" s="96">
        <v>40.299999999999997</v>
      </c>
      <c r="CG224" s="92" t="s">
        <v>453</v>
      </c>
      <c r="CH224" s="98">
        <v>0.68</v>
      </c>
      <c r="CI224" s="98">
        <v>1.21</v>
      </c>
      <c r="CJ224" s="97" t="s">
        <v>454</v>
      </c>
      <c r="CK224" s="96">
        <v>1570</v>
      </c>
      <c r="CL224" s="92" t="s">
        <v>455</v>
      </c>
      <c r="CM224" s="98">
        <v>0.38</v>
      </c>
      <c r="CN224" s="98">
        <v>0.6</v>
      </c>
      <c r="CO224" s="97" t="s">
        <v>454</v>
      </c>
      <c r="CP224" s="96">
        <v>0.08</v>
      </c>
      <c r="CQ224" s="92" t="s">
        <v>456</v>
      </c>
      <c r="CR224" s="98">
        <v>0.5</v>
      </c>
      <c r="CS224" s="98">
        <v>0.75</v>
      </c>
      <c r="CT224" s="97" t="s">
        <v>454</v>
      </c>
      <c r="CU224" s="41"/>
      <c r="CV224" s="41"/>
      <c r="CW224" s="41"/>
      <c r="CX224" s="39"/>
      <c r="CY224" s="39"/>
      <c r="CZ224" s="41"/>
      <c r="DA224" s="41"/>
      <c r="DB224" s="41"/>
      <c r="DC224" s="41"/>
      <c r="DD224" s="39"/>
      <c r="DE224" s="39"/>
      <c r="DF224" s="41"/>
      <c r="DG224" s="41"/>
      <c r="DH224" s="41"/>
      <c r="DI224" s="42"/>
      <c r="DJ224" s="43">
        <v>0.02</v>
      </c>
      <c r="DK224" s="43">
        <f t="shared" si="296"/>
        <v>1.21</v>
      </c>
    </row>
    <row r="225" spans="24:115" s="30" customFormat="1" ht="14.65" thickBot="1">
      <c r="X225" s="67"/>
      <c r="AB225" s="68"/>
      <c r="AD225" s="71"/>
      <c r="AE225" s="71"/>
      <c r="AG225" s="71"/>
      <c r="AH225" s="73"/>
      <c r="AJ225" s="74"/>
      <c r="AL225" s="78"/>
      <c r="AM225" s="78"/>
      <c r="AO225" s="71"/>
      <c r="AR225" s="74"/>
      <c r="AW225" s="71"/>
      <c r="AZ225" s="74"/>
      <c r="BB225" s="71"/>
      <c r="BD225" s="71"/>
      <c r="BG225" s="74"/>
      <c r="BI225" s="71"/>
      <c r="BK225" s="71"/>
      <c r="BN225" s="74"/>
      <c r="BP225" s="71"/>
      <c r="BQ225" s="71"/>
      <c r="BS225" s="71"/>
      <c r="BV225" s="74"/>
      <c r="BX225" s="71"/>
      <c r="BZ225" s="71"/>
      <c r="CC225" s="110"/>
      <c r="CD225" s="111" t="s">
        <v>506</v>
      </c>
      <c r="CE225" s="92" t="s">
        <v>507</v>
      </c>
      <c r="CF225" s="96">
        <v>520</v>
      </c>
      <c r="CG225" s="92" t="s">
        <v>508</v>
      </c>
      <c r="CH225" s="98">
        <v>1E-3</v>
      </c>
      <c r="CI225" s="98">
        <v>1E-3</v>
      </c>
      <c r="CJ225" s="97" t="s">
        <v>442</v>
      </c>
      <c r="CK225" s="39"/>
      <c r="CL225" s="29"/>
      <c r="CM225" s="29"/>
      <c r="CN225" s="39"/>
      <c r="CO225" s="39"/>
      <c r="CP225" s="39"/>
      <c r="CQ225" s="41"/>
      <c r="CR225" s="39"/>
      <c r="CS225" s="96"/>
      <c r="CT225" s="92"/>
      <c r="CU225" s="41"/>
      <c r="CV225" s="41"/>
      <c r="CW225" s="41"/>
      <c r="CX225" s="39"/>
      <c r="CY225" s="39"/>
      <c r="CZ225" s="41"/>
      <c r="DA225" s="41"/>
      <c r="DB225" s="41"/>
      <c r="DC225" s="41"/>
      <c r="DD225" s="39"/>
      <c r="DE225" s="39"/>
      <c r="DF225" s="41"/>
      <c r="DG225" s="41"/>
      <c r="DH225" s="41"/>
      <c r="DI225" s="42"/>
      <c r="DJ225" s="43"/>
      <c r="DK225" s="43">
        <f t="shared" si="296"/>
        <v>1E-3</v>
      </c>
    </row>
    <row r="226" spans="24:115" s="30" customFormat="1" ht="14.65" thickBot="1">
      <c r="X226" s="67"/>
      <c r="AB226" s="68"/>
      <c r="AD226" s="71"/>
      <c r="AE226" s="71"/>
      <c r="AG226" s="71"/>
      <c r="AH226" s="73"/>
      <c r="AJ226" s="74"/>
      <c r="AL226" s="78"/>
      <c r="AM226" s="78"/>
      <c r="AO226" s="71"/>
      <c r="AR226" s="74"/>
      <c r="AW226" s="71"/>
      <c r="AZ226" s="74"/>
      <c r="BB226" s="71"/>
      <c r="BD226" s="71"/>
      <c r="BG226" s="74"/>
      <c r="BI226" s="71"/>
      <c r="BK226" s="71"/>
      <c r="BN226" s="74"/>
      <c r="BP226" s="71"/>
      <c r="BQ226" s="71"/>
      <c r="BS226" s="71"/>
      <c r="BV226" s="74"/>
      <c r="BX226" s="71"/>
      <c r="BZ226" s="71"/>
      <c r="CC226" s="110" t="s">
        <v>503</v>
      </c>
      <c r="CD226" s="111" t="s">
        <v>509</v>
      </c>
      <c r="CE226" s="92" t="s">
        <v>217</v>
      </c>
      <c r="CF226" s="96">
        <v>750</v>
      </c>
      <c r="CG226" s="92" t="s">
        <v>510</v>
      </c>
      <c r="CH226" s="98">
        <v>0.02</v>
      </c>
      <c r="CI226" s="98">
        <v>0.15</v>
      </c>
      <c r="CJ226" s="97" t="s">
        <v>442</v>
      </c>
      <c r="CK226" s="39"/>
      <c r="CL226" s="29"/>
      <c r="CM226" s="29"/>
      <c r="CN226" s="39"/>
      <c r="CO226" s="39"/>
      <c r="CP226" s="39"/>
      <c r="CQ226" s="41"/>
      <c r="CR226" s="39"/>
      <c r="CS226" s="96">
        <v>790</v>
      </c>
      <c r="CT226" s="92" t="s">
        <v>499</v>
      </c>
      <c r="CU226" s="41"/>
      <c r="CV226" s="41"/>
      <c r="CW226" s="41"/>
      <c r="CX226" s="39"/>
      <c r="CY226" s="39"/>
      <c r="CZ226" s="41"/>
      <c r="DA226" s="41"/>
      <c r="DB226" s="41"/>
      <c r="DC226" s="41"/>
      <c r="DD226" s="39"/>
      <c r="DE226" s="39"/>
      <c r="DF226" s="41"/>
      <c r="DG226" s="41"/>
      <c r="DH226" s="41"/>
      <c r="DI226" s="42"/>
      <c r="DJ226" s="43">
        <v>0.02</v>
      </c>
      <c r="DK226" s="43">
        <f t="shared" si="296"/>
        <v>0.15</v>
      </c>
    </row>
    <row r="227" spans="24:115" s="30" customFormat="1" ht="14.65" thickBot="1">
      <c r="X227" s="67"/>
      <c r="AB227" s="68"/>
      <c r="AD227" s="71"/>
      <c r="AE227" s="71"/>
      <c r="AG227" s="71"/>
      <c r="AH227" s="73"/>
      <c r="AJ227" s="74"/>
      <c r="AL227" s="78"/>
      <c r="AM227" s="78"/>
      <c r="AO227" s="71"/>
      <c r="AR227" s="74"/>
      <c r="AW227" s="71"/>
      <c r="AZ227" s="74"/>
      <c r="BB227" s="71"/>
      <c r="BD227" s="71"/>
      <c r="BG227" s="74"/>
      <c r="BI227" s="71"/>
      <c r="BK227" s="71"/>
      <c r="BN227" s="74"/>
      <c r="BP227" s="71"/>
      <c r="BQ227" s="71"/>
      <c r="BS227" s="71"/>
      <c r="BV227" s="74"/>
      <c r="BX227" s="71"/>
      <c r="BZ227" s="71"/>
      <c r="CC227" s="110" t="s">
        <v>503</v>
      </c>
      <c r="CD227" s="111" t="s">
        <v>511</v>
      </c>
      <c r="CE227" s="92" t="s">
        <v>217</v>
      </c>
      <c r="CF227" s="96">
        <v>860</v>
      </c>
      <c r="CG227" s="92" t="s">
        <v>510</v>
      </c>
      <c r="CH227" s="98">
        <v>0.02</v>
      </c>
      <c r="CI227" s="98">
        <v>0.15</v>
      </c>
      <c r="CJ227" s="97" t="s">
        <v>442</v>
      </c>
      <c r="CK227" s="39"/>
      <c r="CL227" s="29"/>
      <c r="CM227" s="29"/>
      <c r="CN227" s="39"/>
      <c r="CO227" s="39"/>
      <c r="CP227" s="39"/>
      <c r="CQ227" s="41"/>
      <c r="CR227" s="39"/>
      <c r="CS227" s="96">
        <v>910</v>
      </c>
      <c r="CT227" s="92" t="s">
        <v>499</v>
      </c>
      <c r="CU227" s="41"/>
      <c r="CV227" s="41"/>
      <c r="CW227" s="41"/>
      <c r="CX227" s="39"/>
      <c r="CY227" s="39"/>
      <c r="CZ227" s="41"/>
      <c r="DA227" s="41"/>
      <c r="DB227" s="41"/>
      <c r="DC227" s="41"/>
      <c r="DD227" s="39"/>
      <c r="DE227" s="39"/>
      <c r="DF227" s="41"/>
      <c r="DG227" s="41"/>
      <c r="DH227" s="41"/>
      <c r="DI227" s="42"/>
      <c r="DJ227" s="43">
        <v>0.02</v>
      </c>
      <c r="DK227" s="43">
        <f t="shared" si="296"/>
        <v>0.15</v>
      </c>
    </row>
    <row r="228" spans="24:115" s="30" customFormat="1" ht="14.65" thickBot="1">
      <c r="X228" s="67"/>
      <c r="AB228" s="68"/>
      <c r="AD228" s="71"/>
      <c r="AE228" s="71"/>
      <c r="AG228" s="71"/>
      <c r="AH228" s="73"/>
      <c r="AJ228" s="74"/>
      <c r="AL228" s="78"/>
      <c r="AM228" s="78"/>
      <c r="AO228" s="71"/>
      <c r="AR228" s="74"/>
      <c r="AW228" s="71"/>
      <c r="AZ228" s="74"/>
      <c r="BB228" s="71"/>
      <c r="BD228" s="71"/>
      <c r="BG228" s="74"/>
      <c r="BI228" s="71"/>
      <c r="BK228" s="71"/>
      <c r="BN228" s="74"/>
      <c r="BP228" s="71"/>
      <c r="BQ228" s="71"/>
      <c r="BS228" s="71"/>
      <c r="BV228" s="74"/>
      <c r="BX228" s="71"/>
      <c r="BZ228" s="71"/>
      <c r="CC228" s="110"/>
      <c r="CD228" s="111" t="s">
        <v>512</v>
      </c>
      <c r="CE228" s="92" t="s">
        <v>217</v>
      </c>
      <c r="CF228" s="96">
        <v>439.71</v>
      </c>
      <c r="CG228" s="92" t="s">
        <v>510</v>
      </c>
      <c r="CH228" s="98">
        <v>0.02</v>
      </c>
      <c r="CI228" s="98">
        <v>0.15</v>
      </c>
      <c r="CJ228" s="97" t="s">
        <v>442</v>
      </c>
      <c r="CK228" s="39"/>
      <c r="CL228" s="29"/>
      <c r="CM228" s="29"/>
      <c r="CN228" s="39"/>
      <c r="CO228" s="39"/>
      <c r="CP228" s="39"/>
      <c r="CQ228" s="41"/>
      <c r="CR228" s="39"/>
      <c r="CS228" s="96"/>
      <c r="CT228" s="92"/>
      <c r="CU228" s="41"/>
      <c r="CV228" s="41"/>
      <c r="CW228" s="41"/>
      <c r="CX228" s="39"/>
      <c r="CY228" s="39"/>
      <c r="CZ228" s="41"/>
      <c r="DA228" s="41"/>
      <c r="DB228" s="41"/>
      <c r="DC228" s="41"/>
      <c r="DD228" s="39"/>
      <c r="DE228" s="39"/>
      <c r="DF228" s="41"/>
      <c r="DG228" s="41"/>
      <c r="DH228" s="41"/>
      <c r="DI228" s="42"/>
      <c r="DJ228" s="43"/>
      <c r="DK228" s="43">
        <f t="shared" si="296"/>
        <v>0.15</v>
      </c>
    </row>
    <row r="229" spans="24:115" s="30" customFormat="1" ht="14.65" thickBot="1">
      <c r="X229" s="67"/>
      <c r="AB229" s="68"/>
      <c r="AD229" s="71"/>
      <c r="AE229" s="71"/>
      <c r="AG229" s="71"/>
      <c r="AH229" s="73"/>
      <c r="AJ229" s="74"/>
      <c r="AL229" s="78"/>
      <c r="AM229" s="78"/>
      <c r="AO229" s="71"/>
      <c r="AR229" s="74"/>
      <c r="AW229" s="71"/>
      <c r="AZ229" s="74"/>
      <c r="BB229" s="71"/>
      <c r="BD229" s="71"/>
      <c r="BG229" s="74"/>
      <c r="BI229" s="71"/>
      <c r="BK229" s="71"/>
      <c r="BN229" s="74"/>
      <c r="BP229" s="71"/>
      <c r="BQ229" s="71"/>
      <c r="BS229" s="71"/>
      <c r="BV229" s="74"/>
      <c r="BX229" s="71"/>
      <c r="BZ229" s="71"/>
      <c r="CC229" s="110"/>
      <c r="CD229" s="111" t="s">
        <v>513</v>
      </c>
      <c r="CE229" s="92" t="s">
        <v>217</v>
      </c>
      <c r="CF229" s="96">
        <v>521.97</v>
      </c>
      <c r="CG229" s="92" t="s">
        <v>510</v>
      </c>
      <c r="CH229" s="98">
        <v>0.02</v>
      </c>
      <c r="CI229" s="98">
        <v>0.15</v>
      </c>
      <c r="CJ229" s="97" t="s">
        <v>442</v>
      </c>
      <c r="CK229" s="39"/>
      <c r="CL229" s="29"/>
      <c r="CM229" s="29"/>
      <c r="CN229" s="39"/>
      <c r="CO229" s="39"/>
      <c r="CP229" s="39"/>
      <c r="CQ229" s="41"/>
      <c r="CR229" s="39"/>
      <c r="CS229" s="96"/>
      <c r="CT229" s="92"/>
      <c r="CU229" s="41"/>
      <c r="CV229" s="41"/>
      <c r="CW229" s="41"/>
      <c r="CX229" s="39"/>
      <c r="CY229" s="39"/>
      <c r="CZ229" s="41"/>
      <c r="DA229" s="41"/>
      <c r="DB229" s="41"/>
      <c r="DC229" s="41"/>
      <c r="DD229" s="39"/>
      <c r="DE229" s="39"/>
      <c r="DF229" s="41"/>
      <c r="DG229" s="41"/>
      <c r="DH229" s="41"/>
      <c r="DI229" s="42"/>
      <c r="DJ229" s="43"/>
      <c r="DK229" s="43">
        <f t="shared" si="296"/>
        <v>0.15</v>
      </c>
    </row>
    <row r="230" spans="24:115" s="30" customFormat="1" ht="14.65" thickBot="1">
      <c r="X230" s="67"/>
      <c r="AB230" s="68"/>
      <c r="AD230" s="71"/>
      <c r="AE230" s="71"/>
      <c r="AG230" s="71"/>
      <c r="AH230" s="73"/>
      <c r="AJ230" s="74"/>
      <c r="AL230" s="78"/>
      <c r="AM230" s="78"/>
      <c r="AO230" s="71"/>
      <c r="AR230" s="74"/>
      <c r="AW230" s="71"/>
      <c r="AZ230" s="74"/>
      <c r="BB230" s="71"/>
      <c r="BD230" s="71"/>
      <c r="BG230" s="74"/>
      <c r="BI230" s="71"/>
      <c r="BK230" s="71"/>
      <c r="BN230" s="74"/>
      <c r="BP230" s="71"/>
      <c r="BQ230" s="71"/>
      <c r="BS230" s="71"/>
      <c r="BV230" s="74"/>
      <c r="BX230" s="71"/>
      <c r="BZ230" s="71"/>
      <c r="CC230" s="110"/>
      <c r="CD230" s="111" t="s">
        <v>514</v>
      </c>
      <c r="CE230" s="92" t="s">
        <v>217</v>
      </c>
      <c r="CF230" s="96">
        <v>477.32</v>
      </c>
      <c r="CG230" s="92" t="s">
        <v>510</v>
      </c>
      <c r="CH230" s="98">
        <v>0.02</v>
      </c>
      <c r="CI230" s="98">
        <v>0.15</v>
      </c>
      <c r="CJ230" s="97" t="s">
        <v>442</v>
      </c>
      <c r="CK230" s="39"/>
      <c r="CL230" s="29"/>
      <c r="CM230" s="29"/>
      <c r="CN230" s="39"/>
      <c r="CO230" s="39"/>
      <c r="CP230" s="39"/>
      <c r="CQ230" s="41"/>
      <c r="CR230" s="39"/>
      <c r="CS230" s="96"/>
      <c r="CT230" s="92"/>
      <c r="CU230" s="41"/>
      <c r="CV230" s="41"/>
      <c r="CW230" s="41"/>
      <c r="CX230" s="39"/>
      <c r="CY230" s="39"/>
      <c r="CZ230" s="41"/>
      <c r="DA230" s="41"/>
      <c r="DB230" s="41"/>
      <c r="DC230" s="41"/>
      <c r="DD230" s="39"/>
      <c r="DE230" s="39"/>
      <c r="DF230" s="41"/>
      <c r="DG230" s="41"/>
      <c r="DH230" s="41"/>
      <c r="DI230" s="42"/>
      <c r="DJ230" s="43"/>
      <c r="DK230" s="43">
        <f t="shared" si="296"/>
        <v>0.15</v>
      </c>
    </row>
    <row r="231" spans="24:115" s="30" customFormat="1" ht="14.65" thickBot="1">
      <c r="X231" s="67"/>
      <c r="AB231" s="68"/>
      <c r="AD231" s="71"/>
      <c r="AE231" s="71"/>
      <c r="AG231" s="71"/>
      <c r="AH231" s="73"/>
      <c r="AJ231" s="74"/>
      <c r="AL231" s="78"/>
      <c r="AM231" s="78"/>
      <c r="AO231" s="71"/>
      <c r="AR231" s="74"/>
      <c r="AW231" s="71"/>
      <c r="AZ231" s="74"/>
      <c r="BB231" s="71"/>
      <c r="BD231" s="71"/>
      <c r="BG231" s="74"/>
      <c r="BI231" s="71"/>
      <c r="BK231" s="71"/>
      <c r="BN231" s="74"/>
      <c r="BP231" s="71"/>
      <c r="BQ231" s="71"/>
      <c r="BS231" s="71"/>
      <c r="BV231" s="74"/>
      <c r="BX231" s="71"/>
      <c r="BZ231" s="71"/>
      <c r="CC231" s="110"/>
      <c r="CD231" s="111" t="s">
        <v>515</v>
      </c>
      <c r="CE231" s="92" t="s">
        <v>217</v>
      </c>
      <c r="CF231" s="96">
        <v>379.87</v>
      </c>
      <c r="CG231" s="92" t="s">
        <v>510</v>
      </c>
      <c r="CH231" s="98">
        <v>0.02</v>
      </c>
      <c r="CI231" s="98">
        <v>0.15</v>
      </c>
      <c r="CJ231" s="97" t="s">
        <v>442</v>
      </c>
      <c r="CK231" s="39"/>
      <c r="CL231" s="29"/>
      <c r="CM231" s="29"/>
      <c r="CN231" s="39"/>
      <c r="CO231" s="39"/>
      <c r="CP231" s="39"/>
      <c r="CQ231" s="41"/>
      <c r="CR231" s="39"/>
      <c r="CS231" s="96"/>
      <c r="CT231" s="92"/>
      <c r="CU231" s="41"/>
      <c r="CV231" s="41"/>
      <c r="CW231" s="41"/>
      <c r="CX231" s="39"/>
      <c r="CY231" s="39"/>
      <c r="CZ231" s="41"/>
      <c r="DA231" s="41"/>
      <c r="DB231" s="41"/>
      <c r="DC231" s="41"/>
      <c r="DD231" s="39"/>
      <c r="DE231" s="39"/>
      <c r="DF231" s="41"/>
      <c r="DG231" s="41"/>
      <c r="DH231" s="41"/>
      <c r="DI231" s="42"/>
      <c r="DJ231" s="43"/>
      <c r="DK231" s="43">
        <f t="shared" si="296"/>
        <v>0.15</v>
      </c>
    </row>
    <row r="232" spans="24:115" s="30" customFormat="1" ht="14.65" thickBot="1">
      <c r="X232" s="67"/>
      <c r="AB232" s="68"/>
      <c r="AD232" s="71"/>
      <c r="AE232" s="71"/>
      <c r="AG232" s="71"/>
      <c r="AH232" s="73"/>
      <c r="AJ232" s="74"/>
      <c r="AL232" s="78"/>
      <c r="AM232" s="78"/>
      <c r="AO232" s="71"/>
      <c r="AR232" s="74"/>
      <c r="AW232" s="71"/>
      <c r="AZ232" s="74"/>
      <c r="BB232" s="71"/>
      <c r="BD232" s="71"/>
      <c r="BG232" s="74"/>
      <c r="BI232" s="71"/>
      <c r="BK232" s="71"/>
      <c r="BN232" s="74"/>
      <c r="BP232" s="71"/>
      <c r="BQ232" s="71"/>
      <c r="BS232" s="71"/>
      <c r="BV232" s="74"/>
      <c r="BX232" s="71"/>
      <c r="BZ232" s="71"/>
      <c r="CC232" s="110"/>
      <c r="CD232" s="111" t="s">
        <v>516</v>
      </c>
      <c r="CE232" s="92" t="s">
        <v>217</v>
      </c>
      <c r="CF232" s="96">
        <v>382.86</v>
      </c>
      <c r="CG232" s="92" t="s">
        <v>510</v>
      </c>
      <c r="CH232" s="98">
        <v>0.02</v>
      </c>
      <c r="CI232" s="98">
        <v>0.15</v>
      </c>
      <c r="CJ232" s="97" t="s">
        <v>442</v>
      </c>
      <c r="CK232" s="39"/>
      <c r="CL232" s="29"/>
      <c r="CM232" s="29"/>
      <c r="CN232" s="39"/>
      <c r="CO232" s="39"/>
      <c r="CP232" s="39"/>
      <c r="CQ232" s="41"/>
      <c r="CR232" s="39"/>
      <c r="CS232" s="96"/>
      <c r="CT232" s="92"/>
      <c r="CU232" s="41"/>
      <c r="CV232" s="41"/>
      <c r="CW232" s="41"/>
      <c r="CX232" s="39"/>
      <c r="CY232" s="39"/>
      <c r="CZ232" s="41"/>
      <c r="DA232" s="41"/>
      <c r="DB232" s="41"/>
      <c r="DC232" s="41"/>
      <c r="DD232" s="39"/>
      <c r="DE232" s="39"/>
      <c r="DF232" s="41"/>
      <c r="DG232" s="41"/>
      <c r="DH232" s="41"/>
      <c r="DI232" s="42"/>
      <c r="DJ232" s="43"/>
      <c r="DK232" s="43">
        <f t="shared" si="296"/>
        <v>0.15</v>
      </c>
    </row>
    <row r="233" spans="24:115" s="30" customFormat="1" ht="14.65" thickBot="1">
      <c r="X233" s="67"/>
      <c r="AB233" s="68"/>
      <c r="AD233" s="71"/>
      <c r="AE233" s="71"/>
      <c r="AG233" s="71"/>
      <c r="AH233" s="73"/>
      <c r="AJ233" s="74"/>
      <c r="AL233" s="78"/>
      <c r="AM233" s="78"/>
      <c r="AO233" s="71"/>
      <c r="AR233" s="74"/>
      <c r="AW233" s="71"/>
      <c r="AZ233" s="74"/>
      <c r="BB233" s="71"/>
      <c r="BD233" s="71"/>
      <c r="BG233" s="74"/>
      <c r="BI233" s="71"/>
      <c r="BK233" s="71"/>
      <c r="BN233" s="74"/>
      <c r="BP233" s="71"/>
      <c r="BQ233" s="71"/>
      <c r="BS233" s="71"/>
      <c r="BV233" s="74"/>
      <c r="BX233" s="71"/>
      <c r="BZ233" s="71"/>
      <c r="CC233" s="110"/>
      <c r="CD233" s="111" t="s">
        <v>517</v>
      </c>
      <c r="CE233" s="92" t="s">
        <v>217</v>
      </c>
      <c r="CF233" s="96">
        <v>414.92</v>
      </c>
      <c r="CG233" s="92" t="s">
        <v>510</v>
      </c>
      <c r="CH233" s="98">
        <v>0.02</v>
      </c>
      <c r="CI233" s="98">
        <v>0.15</v>
      </c>
      <c r="CJ233" s="97" t="s">
        <v>442</v>
      </c>
      <c r="CK233" s="39"/>
      <c r="CL233" s="29"/>
      <c r="CM233" s="29"/>
      <c r="CN233" s="39"/>
      <c r="CO233" s="39"/>
      <c r="CP233" s="39"/>
      <c r="CQ233" s="41"/>
      <c r="CR233" s="39"/>
      <c r="CS233" s="96"/>
      <c r="CT233" s="92"/>
      <c r="CU233" s="41"/>
      <c r="CV233" s="41"/>
      <c r="CW233" s="41"/>
      <c r="CX233" s="39"/>
      <c r="CY233" s="39"/>
      <c r="CZ233" s="41"/>
      <c r="DA233" s="41"/>
      <c r="DB233" s="41"/>
      <c r="DC233" s="41"/>
      <c r="DD233" s="39"/>
      <c r="DE233" s="39"/>
      <c r="DF233" s="41"/>
      <c r="DG233" s="41"/>
      <c r="DH233" s="41"/>
      <c r="DI233" s="42"/>
      <c r="DJ233" s="43"/>
      <c r="DK233" s="43">
        <f t="shared" si="296"/>
        <v>0.15</v>
      </c>
    </row>
    <row r="234" spans="24:115" s="30" customFormat="1" ht="14.65" thickBot="1">
      <c r="X234" s="67"/>
      <c r="AB234" s="68"/>
      <c r="AD234" s="71"/>
      <c r="AE234" s="71"/>
      <c r="AG234" s="71"/>
      <c r="AH234" s="73"/>
      <c r="AJ234" s="74"/>
      <c r="AL234" s="78"/>
      <c r="AM234" s="78"/>
      <c r="AO234" s="71"/>
      <c r="AR234" s="74"/>
      <c r="AW234" s="71"/>
      <c r="AZ234" s="74"/>
      <c r="BB234" s="71"/>
      <c r="BD234" s="71"/>
      <c r="BG234" s="74"/>
      <c r="BI234" s="71"/>
      <c r="BK234" s="71"/>
      <c r="BN234" s="74"/>
      <c r="BP234" s="71"/>
      <c r="BQ234" s="71"/>
      <c r="BS234" s="71"/>
      <c r="BV234" s="74"/>
      <c r="BX234" s="71"/>
      <c r="BZ234" s="71"/>
      <c r="CC234" s="110"/>
      <c r="CD234" s="111" t="s">
        <v>518</v>
      </c>
      <c r="CE234" s="92" t="s">
        <v>217</v>
      </c>
      <c r="CF234" s="96">
        <v>475.72</v>
      </c>
      <c r="CG234" s="92" t="s">
        <v>510</v>
      </c>
      <c r="CH234" s="98">
        <v>0.02</v>
      </c>
      <c r="CI234" s="98">
        <v>0.15</v>
      </c>
      <c r="CJ234" s="97" t="s">
        <v>442</v>
      </c>
      <c r="CK234" s="39"/>
      <c r="CL234" s="29"/>
      <c r="CM234" s="29"/>
      <c r="CN234" s="39"/>
      <c r="CO234" s="39"/>
      <c r="CP234" s="39"/>
      <c r="CQ234" s="41"/>
      <c r="CR234" s="39"/>
      <c r="CS234" s="96"/>
      <c r="CT234" s="92"/>
      <c r="CU234" s="41"/>
      <c r="CV234" s="41"/>
      <c r="CW234" s="41"/>
      <c r="CX234" s="39"/>
      <c r="CY234" s="39"/>
      <c r="CZ234" s="41"/>
      <c r="DA234" s="41"/>
      <c r="DB234" s="41"/>
      <c r="DC234" s="41"/>
      <c r="DD234" s="39"/>
      <c r="DE234" s="39"/>
      <c r="DF234" s="41"/>
      <c r="DG234" s="41"/>
      <c r="DH234" s="41"/>
      <c r="DI234" s="42"/>
      <c r="DJ234" s="43"/>
      <c r="DK234" s="43">
        <f t="shared" si="296"/>
        <v>0.15</v>
      </c>
    </row>
    <row r="235" spans="24:115" s="30" customFormat="1" ht="14.65" thickBot="1">
      <c r="X235" s="67"/>
      <c r="AB235" s="68"/>
      <c r="AD235" s="71"/>
      <c r="AE235" s="71"/>
      <c r="AG235" s="71"/>
      <c r="AH235" s="73"/>
      <c r="AJ235" s="74"/>
      <c r="AL235" s="78"/>
      <c r="AM235" s="78"/>
      <c r="AO235" s="71"/>
      <c r="AR235" s="74"/>
      <c r="AW235" s="71"/>
      <c r="AZ235" s="74"/>
      <c r="BB235" s="71"/>
      <c r="BD235" s="71"/>
      <c r="BG235" s="74"/>
      <c r="BI235" s="71"/>
      <c r="BK235" s="71"/>
      <c r="BN235" s="74"/>
      <c r="BP235" s="71"/>
      <c r="BQ235" s="71"/>
      <c r="BS235" s="71"/>
      <c r="BV235" s="74"/>
      <c r="BX235" s="71"/>
      <c r="BZ235" s="71"/>
      <c r="CC235" s="110"/>
      <c r="CD235" s="111" t="s">
        <v>519</v>
      </c>
      <c r="CE235" s="111" t="s">
        <v>330</v>
      </c>
      <c r="CF235" s="96">
        <v>0.21</v>
      </c>
      <c r="CG235" s="92" t="s">
        <v>510</v>
      </c>
      <c r="CH235" s="98">
        <v>0.1</v>
      </c>
      <c r="CI235" s="98">
        <v>0.6</v>
      </c>
      <c r="CJ235" s="97" t="s">
        <v>442</v>
      </c>
      <c r="CK235" s="39"/>
      <c r="CL235" s="29"/>
      <c r="CM235" s="29"/>
      <c r="CN235" s="39"/>
      <c r="CO235" s="39"/>
      <c r="CP235" s="39"/>
      <c r="CQ235" s="41"/>
      <c r="CR235" s="39"/>
      <c r="CS235" s="96"/>
      <c r="CT235" s="92"/>
      <c r="CU235" s="41"/>
      <c r="CV235" s="41"/>
      <c r="CW235" s="41"/>
      <c r="CX235" s="39"/>
      <c r="CY235" s="39"/>
      <c r="CZ235" s="41"/>
      <c r="DA235" s="41"/>
      <c r="DB235" s="41"/>
      <c r="DC235" s="41"/>
      <c r="DD235" s="39"/>
      <c r="DE235" s="39"/>
      <c r="DF235" s="41"/>
      <c r="DG235" s="41"/>
      <c r="DH235" s="41"/>
      <c r="DI235" s="42"/>
      <c r="DJ235" s="43"/>
      <c r="DK235" s="43">
        <f t="shared" ref="DK235:DK294" si="305">CI235</f>
        <v>0.6</v>
      </c>
    </row>
    <row r="236" spans="24:115" s="30" customFormat="1" ht="14.65" thickBot="1">
      <c r="X236" s="67"/>
      <c r="AB236" s="68"/>
      <c r="AD236" s="71"/>
      <c r="AE236" s="71"/>
      <c r="AG236" s="71"/>
      <c r="AH236" s="73"/>
      <c r="AJ236" s="74"/>
      <c r="AL236" s="78"/>
      <c r="AM236" s="78"/>
      <c r="AO236" s="71"/>
      <c r="AR236" s="74"/>
      <c r="AW236" s="71"/>
      <c r="AZ236" s="74"/>
      <c r="BB236" s="71"/>
      <c r="BD236" s="71"/>
      <c r="BG236" s="74"/>
      <c r="BI236" s="71"/>
      <c r="BK236" s="71"/>
      <c r="BN236" s="74"/>
      <c r="BP236" s="71"/>
      <c r="BQ236" s="71"/>
      <c r="BS236" s="71"/>
      <c r="BV236" s="74"/>
      <c r="BX236" s="71"/>
      <c r="BZ236" s="71"/>
      <c r="CC236" s="110"/>
      <c r="CD236" s="111" t="s">
        <v>520</v>
      </c>
      <c r="CE236" s="111" t="s">
        <v>330</v>
      </c>
      <c r="CF236" s="96">
        <v>0.25</v>
      </c>
      <c r="CG236" s="92" t="s">
        <v>510</v>
      </c>
      <c r="CH236" s="98">
        <v>0.1</v>
      </c>
      <c r="CI236" s="98">
        <v>0.6</v>
      </c>
      <c r="CJ236" s="97" t="s">
        <v>442</v>
      </c>
      <c r="CK236" s="39"/>
      <c r="CL236" s="29"/>
      <c r="CM236" s="29"/>
      <c r="CN236" s="39"/>
      <c r="CO236" s="39"/>
      <c r="CP236" s="39"/>
      <c r="CQ236" s="41"/>
      <c r="CR236" s="39"/>
      <c r="CS236" s="96"/>
      <c r="CT236" s="92"/>
      <c r="CU236" s="41"/>
      <c r="CV236" s="41"/>
      <c r="CW236" s="41"/>
      <c r="CX236" s="39"/>
      <c r="CY236" s="39"/>
      <c r="CZ236" s="41"/>
      <c r="DA236" s="41"/>
      <c r="DB236" s="41"/>
      <c r="DC236" s="41"/>
      <c r="DD236" s="39"/>
      <c r="DE236" s="39"/>
      <c r="DF236" s="41"/>
      <c r="DG236" s="41"/>
      <c r="DH236" s="41"/>
      <c r="DI236" s="42"/>
      <c r="DJ236" s="43"/>
      <c r="DK236" s="43">
        <f t="shared" si="305"/>
        <v>0.6</v>
      </c>
    </row>
    <row r="237" spans="24:115" s="30" customFormat="1" ht="14.65" thickBot="1">
      <c r="X237" s="67"/>
      <c r="AB237" s="68"/>
      <c r="AD237" s="71"/>
      <c r="AE237" s="71"/>
      <c r="AG237" s="71"/>
      <c r="AH237" s="73"/>
      <c r="AJ237" s="74"/>
      <c r="AL237" s="78"/>
      <c r="AM237" s="78"/>
      <c r="AO237" s="71"/>
      <c r="AR237" s="74"/>
      <c r="AW237" s="71"/>
      <c r="AZ237" s="74"/>
      <c r="BB237" s="71"/>
      <c r="BD237" s="71"/>
      <c r="BG237" s="74"/>
      <c r="BI237" s="71"/>
      <c r="BK237" s="71"/>
      <c r="BN237" s="74"/>
      <c r="BP237" s="71"/>
      <c r="BQ237" s="71"/>
      <c r="BS237" s="71"/>
      <c r="BV237" s="74"/>
      <c r="BX237" s="71"/>
      <c r="BZ237" s="71"/>
      <c r="CC237" s="110"/>
      <c r="CD237" s="111" t="s">
        <v>521</v>
      </c>
      <c r="CE237" s="111" t="s">
        <v>330</v>
      </c>
      <c r="CF237" s="96">
        <v>0.1</v>
      </c>
      <c r="CG237" s="92" t="s">
        <v>510</v>
      </c>
      <c r="CH237" s="98">
        <v>0.1</v>
      </c>
      <c r="CI237" s="98">
        <v>0.6</v>
      </c>
      <c r="CJ237" s="97" t="s">
        <v>442</v>
      </c>
      <c r="CK237" s="39"/>
      <c r="CL237" s="29"/>
      <c r="CM237" s="29"/>
      <c r="CN237" s="39"/>
      <c r="CO237" s="39"/>
      <c r="CP237" s="39"/>
      <c r="CQ237" s="41"/>
      <c r="CR237" s="39"/>
      <c r="CS237" s="96"/>
      <c r="CT237" s="92"/>
      <c r="CU237" s="41"/>
      <c r="CV237" s="41"/>
      <c r="CW237" s="41"/>
      <c r="CX237" s="39"/>
      <c r="CY237" s="39"/>
      <c r="CZ237" s="41"/>
      <c r="DA237" s="41"/>
      <c r="DB237" s="41"/>
      <c r="DC237" s="41"/>
      <c r="DD237" s="39"/>
      <c r="DE237" s="39"/>
      <c r="DF237" s="41"/>
      <c r="DG237" s="41"/>
      <c r="DH237" s="41"/>
      <c r="DI237" s="42"/>
      <c r="DJ237" s="43"/>
      <c r="DK237" s="43">
        <f t="shared" si="305"/>
        <v>0.6</v>
      </c>
    </row>
    <row r="238" spans="24:115" s="30" customFormat="1" ht="14.65" thickBot="1">
      <c r="X238" s="67"/>
      <c r="AB238" s="68"/>
      <c r="AD238" s="71"/>
      <c r="AE238" s="71"/>
      <c r="AG238" s="71"/>
      <c r="AH238" s="73"/>
      <c r="AJ238" s="74"/>
      <c r="AL238" s="78"/>
      <c r="AM238" s="78"/>
      <c r="AO238" s="71"/>
      <c r="AR238" s="74"/>
      <c r="AW238" s="71"/>
      <c r="AZ238" s="74"/>
      <c r="BB238" s="71"/>
      <c r="BD238" s="71"/>
      <c r="BG238" s="74"/>
      <c r="BI238" s="71"/>
      <c r="BK238" s="71"/>
      <c r="BN238" s="74"/>
      <c r="BP238" s="71"/>
      <c r="BQ238" s="71"/>
      <c r="BS238" s="71"/>
      <c r="BV238" s="74"/>
      <c r="BX238" s="71"/>
      <c r="BZ238" s="71"/>
      <c r="CC238" s="110"/>
      <c r="CD238" s="111" t="s">
        <v>522</v>
      </c>
      <c r="CE238" s="111" t="s">
        <v>330</v>
      </c>
      <c r="CF238" s="96">
        <v>0.2</v>
      </c>
      <c r="CG238" s="92" t="s">
        <v>510</v>
      </c>
      <c r="CH238" s="98">
        <v>0.1</v>
      </c>
      <c r="CI238" s="98">
        <v>0.6</v>
      </c>
      <c r="CJ238" s="97" t="s">
        <v>442</v>
      </c>
      <c r="CK238" s="39"/>
      <c r="CL238" s="29"/>
      <c r="CM238" s="29"/>
      <c r="CN238" s="39"/>
      <c r="CO238" s="39"/>
      <c r="CP238" s="39"/>
      <c r="CQ238" s="41"/>
      <c r="CR238" s="39"/>
      <c r="CS238" s="96"/>
      <c r="CT238" s="92"/>
      <c r="CU238" s="41"/>
      <c r="CV238" s="41"/>
      <c r="CW238" s="41"/>
      <c r="CX238" s="39"/>
      <c r="CY238" s="39"/>
      <c r="CZ238" s="41"/>
      <c r="DA238" s="41"/>
      <c r="DB238" s="41"/>
      <c r="DC238" s="41"/>
      <c r="DD238" s="39"/>
      <c r="DE238" s="39"/>
      <c r="DF238" s="41"/>
      <c r="DG238" s="41"/>
      <c r="DH238" s="41"/>
      <c r="DI238" s="42"/>
      <c r="DJ238" s="43"/>
      <c r="DK238" s="43">
        <f t="shared" si="305"/>
        <v>0.6</v>
      </c>
    </row>
    <row r="239" spans="24:115" s="30" customFormat="1" ht="14.65" thickBot="1">
      <c r="X239" s="67"/>
      <c r="AB239" s="68"/>
      <c r="AD239" s="71"/>
      <c r="AE239" s="71"/>
      <c r="AG239" s="71"/>
      <c r="AH239" s="73"/>
      <c r="AJ239" s="74"/>
      <c r="AL239" s="78"/>
      <c r="AM239" s="78"/>
      <c r="AO239" s="71"/>
      <c r="AR239" s="74"/>
      <c r="AW239" s="71"/>
      <c r="AZ239" s="74"/>
      <c r="BB239" s="71"/>
      <c r="BD239" s="71"/>
      <c r="BG239" s="74"/>
      <c r="BI239" s="71"/>
      <c r="BK239" s="71"/>
      <c r="BN239" s="74"/>
      <c r="BP239" s="71"/>
      <c r="BQ239" s="71"/>
      <c r="BS239" s="71"/>
      <c r="BV239" s="74"/>
      <c r="BX239" s="71"/>
      <c r="BZ239" s="71"/>
      <c r="CC239" s="110"/>
      <c r="CD239" s="111" t="s">
        <v>523</v>
      </c>
      <c r="CE239" s="111" t="s">
        <v>330</v>
      </c>
      <c r="CF239" s="96">
        <v>0.03</v>
      </c>
      <c r="CG239" s="92" t="s">
        <v>510</v>
      </c>
      <c r="CH239" s="98">
        <v>0.1</v>
      </c>
      <c r="CI239" s="98">
        <v>0.6</v>
      </c>
      <c r="CJ239" s="97" t="s">
        <v>442</v>
      </c>
      <c r="CK239" s="39"/>
      <c r="CL239" s="29"/>
      <c r="CM239" s="29"/>
      <c r="CN239" s="39"/>
      <c r="CO239" s="39"/>
      <c r="CP239" s="39"/>
      <c r="CQ239" s="41"/>
      <c r="CR239" s="39"/>
      <c r="CS239" s="96"/>
      <c r="CT239" s="92"/>
      <c r="CU239" s="41"/>
      <c r="CV239" s="41"/>
      <c r="CW239" s="41"/>
      <c r="CX239" s="39"/>
      <c r="CY239" s="39"/>
      <c r="CZ239" s="41"/>
      <c r="DA239" s="41"/>
      <c r="DB239" s="41"/>
      <c r="DC239" s="41"/>
      <c r="DD239" s="39"/>
      <c r="DE239" s="39"/>
      <c r="DF239" s="41"/>
      <c r="DG239" s="41"/>
      <c r="DH239" s="41"/>
      <c r="DI239" s="42"/>
      <c r="DJ239" s="43"/>
      <c r="DK239" s="43">
        <f t="shared" si="305"/>
        <v>0.6</v>
      </c>
    </row>
    <row r="240" spans="24:115" s="30" customFormat="1" ht="14.65" thickBot="1">
      <c r="X240" s="67"/>
      <c r="AB240" s="68"/>
      <c r="AD240" s="71"/>
      <c r="AE240" s="71"/>
      <c r="AG240" s="71"/>
      <c r="AH240" s="73"/>
      <c r="AJ240" s="74"/>
      <c r="AL240" s="78"/>
      <c r="AM240" s="78"/>
      <c r="AO240" s="71"/>
      <c r="AR240" s="74"/>
      <c r="AW240" s="71"/>
      <c r="AZ240" s="74"/>
      <c r="BB240" s="71"/>
      <c r="BD240" s="71"/>
      <c r="BG240" s="74"/>
      <c r="BI240" s="71"/>
      <c r="BK240" s="71"/>
      <c r="BN240" s="74"/>
      <c r="BP240" s="71"/>
      <c r="BQ240" s="71"/>
      <c r="BS240" s="71"/>
      <c r="BV240" s="74"/>
      <c r="BX240" s="71"/>
      <c r="BZ240" s="71"/>
      <c r="CC240" s="110"/>
      <c r="CD240" s="111" t="s">
        <v>524</v>
      </c>
      <c r="CE240" s="92" t="s">
        <v>525</v>
      </c>
      <c r="CF240" s="96">
        <v>3273</v>
      </c>
      <c r="CG240" s="92" t="s">
        <v>526</v>
      </c>
      <c r="CH240" s="98">
        <v>0.02</v>
      </c>
      <c r="CI240" s="98">
        <v>0.05</v>
      </c>
      <c r="CJ240" s="97" t="s">
        <v>442</v>
      </c>
      <c r="CK240" s="39"/>
      <c r="CL240" s="29"/>
      <c r="CM240" s="29"/>
      <c r="CN240" s="39"/>
      <c r="CO240" s="39"/>
      <c r="CP240" s="39"/>
      <c r="CQ240" s="41"/>
      <c r="CR240" s="39"/>
      <c r="CS240" s="96"/>
      <c r="CT240" s="92"/>
      <c r="CU240" s="41"/>
      <c r="CV240" s="41"/>
      <c r="CW240" s="41"/>
      <c r="CX240" s="39"/>
      <c r="CY240" s="39"/>
      <c r="CZ240" s="41"/>
      <c r="DA240" s="41"/>
      <c r="DB240" s="41"/>
      <c r="DC240" s="41"/>
      <c r="DD240" s="39"/>
      <c r="DE240" s="39"/>
      <c r="DF240" s="41"/>
      <c r="DG240" s="41"/>
      <c r="DH240" s="41"/>
      <c r="DI240" s="42"/>
      <c r="DJ240" s="43"/>
      <c r="DK240" s="43">
        <f t="shared" si="305"/>
        <v>0.05</v>
      </c>
    </row>
    <row r="241" spans="24:137" s="30" customFormat="1" ht="28.15" thickBot="1">
      <c r="X241" s="67"/>
      <c r="AB241" s="68"/>
      <c r="AD241" s="71"/>
      <c r="AE241" s="71"/>
      <c r="AG241" s="71"/>
      <c r="AH241" s="73"/>
      <c r="AJ241" s="74"/>
      <c r="AL241" s="78"/>
      <c r="AM241" s="78"/>
      <c r="AO241" s="71"/>
      <c r="AR241" s="74"/>
      <c r="AW241" s="71"/>
      <c r="AZ241" s="74"/>
      <c r="BB241" s="71"/>
      <c r="BD241" s="71"/>
      <c r="BG241" s="74"/>
      <c r="BI241" s="71"/>
      <c r="BK241" s="71"/>
      <c r="BN241" s="74"/>
      <c r="BP241" s="71"/>
      <c r="BQ241" s="71"/>
      <c r="BS241" s="71"/>
      <c r="BV241" s="74"/>
      <c r="BX241" s="71"/>
      <c r="BZ241" s="71"/>
      <c r="CC241" s="110" t="s">
        <v>503</v>
      </c>
      <c r="CD241" s="111" t="s">
        <v>527</v>
      </c>
      <c r="CE241" s="111" t="s">
        <v>217</v>
      </c>
      <c r="CF241" s="96">
        <f>(3.13757879682717*1000)</f>
        <v>3137.5787968271702</v>
      </c>
      <c r="CG241" s="92" t="s">
        <v>510</v>
      </c>
      <c r="CH241" s="98">
        <v>0.02</v>
      </c>
      <c r="CI241" s="98">
        <v>0.5</v>
      </c>
      <c r="CJ241" s="97" t="s">
        <v>528</v>
      </c>
      <c r="CK241" s="39"/>
      <c r="CL241" s="29"/>
      <c r="CM241" s="29"/>
      <c r="CN241" s="39"/>
      <c r="CO241" s="39"/>
      <c r="CP241" s="39"/>
      <c r="CQ241" s="41"/>
      <c r="CR241" s="39"/>
      <c r="CS241" s="96"/>
      <c r="CT241" s="92"/>
      <c r="CU241" s="41"/>
      <c r="CV241" s="41"/>
      <c r="CW241" s="41"/>
      <c r="CX241" s="39"/>
      <c r="CY241" s="39"/>
      <c r="CZ241" s="41"/>
      <c r="DA241" s="41"/>
      <c r="DB241" s="41"/>
      <c r="DC241" s="41"/>
      <c r="DD241" s="39"/>
      <c r="DE241" s="39"/>
      <c r="DF241" s="41"/>
      <c r="DG241" s="41"/>
      <c r="DH241" s="41"/>
      <c r="DI241" s="42"/>
      <c r="DJ241" s="43">
        <v>0.02</v>
      </c>
      <c r="DK241" s="43">
        <f t="shared" si="305"/>
        <v>0.5</v>
      </c>
    </row>
    <row r="242" spans="24:137" s="30" customFormat="1" ht="15.75" thickBot="1">
      <c r="X242" s="67"/>
      <c r="AB242" s="68"/>
      <c r="AD242" s="71"/>
      <c r="AE242" s="71"/>
      <c r="AG242" s="71"/>
      <c r="AH242" s="73"/>
      <c r="AJ242" s="74"/>
      <c r="AL242" s="78"/>
      <c r="AM242" s="78"/>
      <c r="AO242" s="71"/>
      <c r="AR242" s="74"/>
      <c r="AW242" s="71"/>
      <c r="AZ242" s="74"/>
      <c r="BB242" s="71"/>
      <c r="BD242" s="71"/>
      <c r="BG242" s="74"/>
      <c r="BI242" s="71"/>
      <c r="BK242" s="71"/>
      <c r="BN242" s="74"/>
      <c r="BP242" s="71"/>
      <c r="BQ242" s="71"/>
      <c r="BS242" s="71"/>
      <c r="BV242" s="74"/>
      <c r="BX242" s="71"/>
      <c r="BZ242" s="71"/>
      <c r="CC242" s="110" t="s">
        <v>503</v>
      </c>
      <c r="CD242" s="111" t="s">
        <v>529</v>
      </c>
      <c r="CE242" s="111" t="s">
        <v>217</v>
      </c>
      <c r="CF242" s="96">
        <v>19</v>
      </c>
      <c r="CG242" s="92" t="s">
        <v>530</v>
      </c>
      <c r="CH242" s="98">
        <v>0.1</v>
      </c>
      <c r="CI242" s="98">
        <v>0.4</v>
      </c>
      <c r="CJ242" s="97" t="s">
        <v>454</v>
      </c>
      <c r="CK242" s="39"/>
      <c r="CL242" s="29"/>
      <c r="CM242" s="29"/>
      <c r="CN242" s="39"/>
      <c r="CO242" s="39"/>
      <c r="CP242" s="39"/>
      <c r="CQ242" s="41"/>
      <c r="CR242" s="39"/>
      <c r="CS242" s="96">
        <v>1500</v>
      </c>
      <c r="CT242" s="92" t="s">
        <v>499</v>
      </c>
      <c r="CU242" s="41"/>
      <c r="CV242" s="41"/>
      <c r="CW242" s="41"/>
      <c r="CX242" s="39"/>
      <c r="CY242" s="39"/>
      <c r="CZ242" s="41"/>
      <c r="DA242" s="41"/>
      <c r="DB242" s="41"/>
      <c r="DC242" s="41"/>
      <c r="DD242" s="39"/>
      <c r="DE242" s="39"/>
      <c r="DF242" s="41"/>
      <c r="DG242" s="41"/>
      <c r="DH242" s="41"/>
      <c r="DI242" s="42"/>
      <c r="DJ242" s="43">
        <v>0.02</v>
      </c>
      <c r="DK242" s="43">
        <f t="shared" si="305"/>
        <v>0.4</v>
      </c>
    </row>
    <row r="243" spans="24:137" s="30" customFormat="1" ht="15.75" thickBot="1">
      <c r="X243" s="67"/>
      <c r="AB243" s="68"/>
      <c r="AD243" s="71"/>
      <c r="AE243" s="71"/>
      <c r="AG243" s="71"/>
      <c r="AH243" s="73"/>
      <c r="AJ243" s="74"/>
      <c r="AL243" s="78"/>
      <c r="AM243" s="78"/>
      <c r="AO243" s="71"/>
      <c r="AR243" s="74"/>
      <c r="AW243" s="71"/>
      <c r="AZ243" s="74"/>
      <c r="BB243" s="71"/>
      <c r="BD243" s="71"/>
      <c r="BG243" s="74"/>
      <c r="BI243" s="71"/>
      <c r="BK243" s="71"/>
      <c r="BN243" s="74"/>
      <c r="BP243" s="71"/>
      <c r="BQ243" s="71"/>
      <c r="BV243" s="74"/>
      <c r="BX243" s="71"/>
      <c r="CA243" s="116"/>
      <c r="CC243" s="110"/>
      <c r="CD243" s="111" t="s">
        <v>531</v>
      </c>
      <c r="CE243" s="92" t="s">
        <v>532</v>
      </c>
      <c r="CF243" s="96">
        <f>0*0</f>
        <v>0</v>
      </c>
      <c r="CG243" s="92" t="s">
        <v>533</v>
      </c>
      <c r="CH243" s="98">
        <f t="shared" ref="CH243:CI244" si="306">SQRT((10%*10%)+(30%+30%))</f>
        <v>0.78102496759066542</v>
      </c>
      <c r="CI243" s="98">
        <f t="shared" si="306"/>
        <v>0.78102496759066542</v>
      </c>
      <c r="CJ243" s="97" t="s">
        <v>454</v>
      </c>
      <c r="CK243" s="39"/>
      <c r="CL243" s="29"/>
      <c r="CM243" s="29"/>
      <c r="CN243" s="39"/>
      <c r="CO243" s="39"/>
      <c r="CP243" s="39"/>
      <c r="CQ243" s="41"/>
      <c r="CR243" s="39"/>
      <c r="CS243" s="96"/>
      <c r="CT243" s="92"/>
      <c r="CU243" s="41"/>
      <c r="CV243" s="41"/>
      <c r="CW243" s="41"/>
      <c r="CX243" s="39"/>
      <c r="CY243" s="39"/>
      <c r="CZ243" s="41"/>
      <c r="DA243" s="41"/>
      <c r="DB243" s="41"/>
      <c r="DC243" s="41"/>
      <c r="DD243" s="39"/>
      <c r="DE243" s="39"/>
      <c r="DF243" s="41"/>
      <c r="DG243" s="41"/>
      <c r="DH243" s="41"/>
      <c r="DI243" s="42"/>
      <c r="DJ243" s="43"/>
      <c r="DK243" s="43">
        <v>0.35</v>
      </c>
    </row>
    <row r="244" spans="24:137" s="30" customFormat="1" ht="15.75" thickBot="1">
      <c r="X244" s="67"/>
      <c r="AB244" s="68"/>
      <c r="AD244" s="71"/>
      <c r="AE244" s="71"/>
      <c r="AG244" s="71"/>
      <c r="AH244" s="73"/>
      <c r="AJ244" s="74"/>
      <c r="AL244" s="78"/>
      <c r="AM244" s="78"/>
      <c r="AO244" s="71"/>
      <c r="AR244" s="74"/>
      <c r="AW244" s="71"/>
      <c r="AZ244" s="74"/>
      <c r="BB244" s="71"/>
      <c r="BD244" s="71"/>
      <c r="BG244" s="74"/>
      <c r="BI244" s="71"/>
      <c r="BK244" s="71"/>
      <c r="BN244" s="74"/>
      <c r="BP244" s="71"/>
      <c r="BQ244" s="71"/>
      <c r="BV244" s="74"/>
      <c r="BX244" s="71"/>
      <c r="CA244" s="116"/>
      <c r="CB244" s="31"/>
      <c r="CC244" s="110"/>
      <c r="CD244" s="111" t="s">
        <v>534</v>
      </c>
      <c r="CE244" s="92" t="s">
        <v>532</v>
      </c>
      <c r="CF244" s="96">
        <f>0.8*0.48</f>
        <v>0.38400000000000001</v>
      </c>
      <c r="CG244" s="92" t="s">
        <v>533</v>
      </c>
      <c r="CH244" s="98">
        <f t="shared" si="306"/>
        <v>0.78102496759066542</v>
      </c>
      <c r="CI244" s="98">
        <f t="shared" si="306"/>
        <v>0.78102496759066542</v>
      </c>
      <c r="CJ244" s="97" t="s">
        <v>454</v>
      </c>
      <c r="CK244" s="39"/>
      <c r="CL244" s="29"/>
      <c r="CM244" s="29"/>
      <c r="CN244" s="39"/>
      <c r="CO244" s="39"/>
      <c r="CP244" s="39"/>
      <c r="CQ244" s="41"/>
      <c r="CR244" s="39"/>
      <c r="CS244" s="96"/>
      <c r="CT244" s="92"/>
      <c r="CU244" s="41"/>
      <c r="CV244" s="41"/>
      <c r="CW244" s="41"/>
      <c r="CX244" s="39"/>
      <c r="CY244" s="39"/>
      <c r="CZ244" s="41"/>
      <c r="DA244" s="41"/>
      <c r="DB244" s="41"/>
      <c r="DC244" s="41"/>
      <c r="DD244" s="39"/>
      <c r="DE244" s="39"/>
      <c r="DF244" s="41"/>
      <c r="DG244" s="41"/>
      <c r="DH244" s="41"/>
      <c r="DI244" s="42"/>
      <c r="DJ244" s="43"/>
      <c r="DK244" s="43">
        <v>0.35</v>
      </c>
    </row>
    <row r="245" spans="24:137" s="30" customFormat="1" ht="15.75" thickBot="1">
      <c r="X245" s="67"/>
      <c r="AB245" s="68"/>
      <c r="AD245" s="71"/>
      <c r="AE245" s="71"/>
      <c r="AG245" s="71"/>
      <c r="AH245" s="73"/>
      <c r="AJ245" s="74"/>
      <c r="AL245" s="78"/>
      <c r="AM245" s="78"/>
      <c r="AO245" s="71"/>
      <c r="AR245" s="74"/>
      <c r="AW245" s="71"/>
      <c r="AZ245" s="74"/>
      <c r="BB245" s="71"/>
      <c r="BD245" s="71"/>
      <c r="BG245" s="74"/>
      <c r="BI245" s="71"/>
      <c r="BK245" s="71"/>
      <c r="BN245" s="74"/>
      <c r="BP245" s="71"/>
      <c r="BQ245" s="71"/>
      <c r="BV245" s="74"/>
      <c r="BX245" s="71"/>
      <c r="CA245" s="116"/>
      <c r="CC245" s="110"/>
      <c r="CD245" s="111" t="s">
        <v>535</v>
      </c>
      <c r="CE245" s="92" t="s">
        <v>532</v>
      </c>
      <c r="CF245" s="96">
        <f>0.8*0.48</f>
        <v>0.38400000000000001</v>
      </c>
      <c r="CG245" s="92" t="s">
        <v>533</v>
      </c>
      <c r="CH245" s="98">
        <f>SQRT((30%*30%)+(30%+30%))</f>
        <v>0.83066238629180744</v>
      </c>
      <c r="CI245" s="98">
        <f t="shared" ref="CI245:CI246" si="307">SQRT((30%*30%)+(30%+30%))</f>
        <v>0.83066238629180744</v>
      </c>
      <c r="CJ245" s="97" t="s">
        <v>454</v>
      </c>
      <c r="CK245" s="39"/>
      <c r="CL245" s="29"/>
      <c r="CM245" s="29"/>
      <c r="CN245" s="39"/>
      <c r="CO245" s="39"/>
      <c r="CP245" s="39"/>
      <c r="CQ245" s="41"/>
      <c r="CR245" s="39"/>
      <c r="CS245" s="96"/>
      <c r="CT245" s="92"/>
      <c r="CU245" s="41"/>
      <c r="CV245" s="41"/>
      <c r="CW245" s="41"/>
      <c r="CX245" s="39"/>
      <c r="CY245" s="39"/>
      <c r="CZ245" s="41"/>
      <c r="DA245" s="41"/>
      <c r="DB245" s="41"/>
      <c r="DC245" s="41"/>
      <c r="DD245" s="39"/>
      <c r="DE245" s="39"/>
      <c r="DF245" s="41"/>
      <c r="DG245" s="41"/>
      <c r="DH245" s="41"/>
      <c r="DI245" s="42"/>
      <c r="DJ245" s="43"/>
      <c r="DK245" s="43">
        <v>0.35</v>
      </c>
    </row>
    <row r="246" spans="24:137" s="30" customFormat="1" ht="15.75" thickBot="1">
      <c r="X246" s="67"/>
      <c r="AB246" s="68"/>
      <c r="AD246" s="71"/>
      <c r="AE246" s="71"/>
      <c r="AG246" s="71"/>
      <c r="AH246" s="73"/>
      <c r="AJ246" s="74"/>
      <c r="AL246" s="78"/>
      <c r="AM246" s="78"/>
      <c r="AO246" s="71"/>
      <c r="AR246" s="74"/>
      <c r="AW246" s="71"/>
      <c r="AZ246" s="122"/>
      <c r="BA246" s="125"/>
      <c r="BB246" s="71"/>
      <c r="BD246" s="71"/>
      <c r="BG246" s="122"/>
      <c r="BH246" s="125"/>
      <c r="BI246" s="71"/>
      <c r="BK246" s="71"/>
      <c r="BN246" s="74"/>
      <c r="BP246" s="71"/>
      <c r="BQ246" s="71"/>
      <c r="BV246" s="74"/>
      <c r="BX246" s="71"/>
      <c r="CA246" s="116"/>
      <c r="CC246" s="110"/>
      <c r="CD246" s="111" t="s">
        <v>536</v>
      </c>
      <c r="CE246" s="92" t="s">
        <v>532</v>
      </c>
      <c r="CF246" s="96">
        <f>0.2*0.12</f>
        <v>2.4E-2</v>
      </c>
      <c r="CG246" s="92" t="s">
        <v>533</v>
      </c>
      <c r="CH246" s="98">
        <f t="shared" ref="CH246" si="308">SQRT((30%*30%)+(30%+30%))</f>
        <v>0.83066238629180744</v>
      </c>
      <c r="CI246" s="98">
        <f t="shared" si="307"/>
        <v>0.83066238629180744</v>
      </c>
      <c r="CJ246" s="97" t="s">
        <v>454</v>
      </c>
      <c r="CK246" s="39"/>
      <c r="CL246" s="29"/>
      <c r="CM246" s="29"/>
      <c r="CN246" s="39"/>
      <c r="CO246" s="39"/>
      <c r="CP246" s="39"/>
      <c r="CQ246" s="41"/>
      <c r="CR246" s="39"/>
      <c r="CS246" s="96"/>
      <c r="CT246" s="92"/>
      <c r="CU246" s="41"/>
      <c r="CV246" s="41"/>
      <c r="CW246" s="41"/>
      <c r="CX246" s="39"/>
      <c r="CY246" s="39"/>
      <c r="CZ246" s="41"/>
      <c r="DA246" s="41"/>
      <c r="DB246" s="41"/>
      <c r="DC246" s="41"/>
      <c r="DD246" s="39"/>
      <c r="DE246" s="39"/>
      <c r="DF246" s="41"/>
      <c r="DG246" s="41"/>
      <c r="DH246" s="41"/>
      <c r="DI246" s="42"/>
      <c r="DJ246" s="43"/>
      <c r="DK246" s="43">
        <v>0.35</v>
      </c>
    </row>
    <row r="247" spans="24:137" s="30" customFormat="1" ht="15.75" thickBot="1">
      <c r="X247" s="67"/>
      <c r="AB247" s="68"/>
      <c r="AD247" s="71"/>
      <c r="AE247" s="71"/>
      <c r="AG247" s="71"/>
      <c r="AH247" s="73"/>
      <c r="AJ247" s="74"/>
      <c r="AL247" s="78"/>
      <c r="AM247" s="78"/>
      <c r="AO247" s="71"/>
      <c r="AR247" s="74"/>
      <c r="AW247" s="71"/>
      <c r="AZ247" s="74"/>
      <c r="BB247" s="71"/>
      <c r="BD247" s="71"/>
      <c r="BG247" s="74"/>
      <c r="BI247" s="71"/>
      <c r="BK247" s="71"/>
      <c r="BN247" s="74"/>
      <c r="BP247" s="71"/>
      <c r="BQ247" s="71"/>
      <c r="BV247" s="74"/>
      <c r="BX247" s="71"/>
      <c r="CA247" s="116"/>
      <c r="CC247" s="110"/>
      <c r="CD247" s="111" t="s">
        <v>537</v>
      </c>
      <c r="CE247" s="92" t="s">
        <v>532</v>
      </c>
      <c r="CF247" s="96">
        <f>0.8*0.48</f>
        <v>0.38400000000000001</v>
      </c>
      <c r="CG247" s="92" t="s">
        <v>533</v>
      </c>
      <c r="CH247" s="98">
        <f>0.8/0.8</f>
        <v>1</v>
      </c>
      <c r="CI247" s="98">
        <f>1/0.8</f>
        <v>1.25</v>
      </c>
      <c r="CJ247" s="97" t="s">
        <v>454</v>
      </c>
      <c r="CK247" s="39"/>
      <c r="CL247" s="29"/>
      <c r="CM247" s="29"/>
      <c r="CN247" s="39"/>
      <c r="CO247" s="39"/>
      <c r="CP247" s="39"/>
      <c r="CQ247" s="41"/>
      <c r="CR247" s="39"/>
      <c r="CS247" s="96"/>
      <c r="CT247" s="92"/>
      <c r="CU247" s="41"/>
      <c r="CV247" s="41"/>
      <c r="CW247" s="41"/>
      <c r="CX247" s="39"/>
      <c r="CY247" s="39"/>
      <c r="CZ247" s="41"/>
      <c r="DA247" s="41"/>
      <c r="DB247" s="41"/>
      <c r="DC247" s="41"/>
      <c r="DD247" s="39"/>
      <c r="DE247" s="39"/>
      <c r="DF247" s="41"/>
      <c r="DG247" s="41"/>
      <c r="DH247" s="41"/>
      <c r="DI247" s="42"/>
      <c r="DJ247" s="43"/>
      <c r="DK247" s="43">
        <v>0.35</v>
      </c>
    </row>
    <row r="248" spans="24:137" s="30" customFormat="1" ht="15.75" thickBot="1">
      <c r="X248" s="67"/>
      <c r="AB248" s="68"/>
      <c r="AD248" s="71"/>
      <c r="AE248" s="71"/>
      <c r="AG248" s="71"/>
      <c r="AH248" s="73"/>
      <c r="AJ248" s="74"/>
      <c r="AL248" s="78"/>
      <c r="AM248" s="78"/>
      <c r="AO248" s="71"/>
      <c r="AR248" s="74"/>
      <c r="AW248" s="71"/>
      <c r="AZ248" s="74"/>
      <c r="BB248" s="71"/>
      <c r="BD248" s="71"/>
      <c r="BG248" s="74"/>
      <c r="BI248" s="71"/>
      <c r="BK248" s="71"/>
      <c r="BN248" s="74"/>
      <c r="BP248" s="71"/>
      <c r="BQ248" s="71"/>
      <c r="BV248" s="74"/>
      <c r="BX248" s="71"/>
      <c r="CA248" s="116"/>
      <c r="CC248" s="110"/>
      <c r="CD248" s="111" t="s">
        <v>538</v>
      </c>
      <c r="CE248" s="92" t="s">
        <v>539</v>
      </c>
      <c r="CF248" s="96">
        <f>0.03*0.018</f>
        <v>5.399999999999999E-4</v>
      </c>
      <c r="CG248" s="92" t="s">
        <v>540</v>
      </c>
      <c r="CH248" s="98">
        <f>SQRT((10%*10%)+(30%+30%))</f>
        <v>0.78102496759066542</v>
      </c>
      <c r="CI248" s="98">
        <f t="shared" ref="CI248:CI250" si="309">SQRT((10%*10%)+(30%+30%))</f>
        <v>0.78102496759066542</v>
      </c>
      <c r="CJ248" s="97" t="s">
        <v>494</v>
      </c>
      <c r="CK248" s="39"/>
      <c r="CL248" s="29"/>
      <c r="CM248" s="29"/>
      <c r="CN248" s="39"/>
      <c r="CO248" s="39"/>
      <c r="CP248" s="39"/>
      <c r="CQ248" s="41"/>
      <c r="CR248" s="39"/>
      <c r="CS248" s="96"/>
      <c r="CT248" s="92"/>
      <c r="CU248" s="41"/>
      <c r="CV248" s="41"/>
      <c r="CW248" s="41"/>
      <c r="CX248" s="39"/>
      <c r="CY248" s="39"/>
      <c r="CZ248" s="41"/>
      <c r="DA248" s="41"/>
      <c r="DB248" s="41"/>
      <c r="DC248" s="41"/>
      <c r="DD248" s="39"/>
      <c r="DE248" s="39"/>
      <c r="DF248" s="41"/>
      <c r="DG248" s="41"/>
      <c r="DH248" s="41"/>
      <c r="DI248" s="42"/>
      <c r="DJ248" s="43"/>
      <c r="DK248" s="43">
        <v>0.35</v>
      </c>
    </row>
    <row r="249" spans="24:137" s="30" customFormat="1" ht="15.75" thickBot="1">
      <c r="X249" s="67"/>
      <c r="AB249" s="68"/>
      <c r="AD249" s="71"/>
      <c r="AE249" s="71"/>
      <c r="AG249" s="71"/>
      <c r="AH249" s="73"/>
      <c r="AJ249" s="74"/>
      <c r="AL249" s="78"/>
      <c r="AM249" s="78"/>
      <c r="AO249" s="71"/>
      <c r="AR249" s="74"/>
      <c r="AW249" s="71"/>
      <c r="AZ249" s="74"/>
      <c r="BB249" s="71"/>
      <c r="BD249" s="71"/>
      <c r="BG249" s="74"/>
      <c r="BI249" s="71"/>
      <c r="BK249" s="71"/>
      <c r="BN249" s="74"/>
      <c r="BP249" s="71"/>
      <c r="BQ249" s="71"/>
      <c r="BV249" s="74"/>
      <c r="BX249" s="71"/>
      <c r="CA249" s="116"/>
      <c r="CC249" s="110"/>
      <c r="CD249" s="111" t="s">
        <v>541</v>
      </c>
      <c r="CE249" s="92" t="s">
        <v>539</v>
      </c>
      <c r="CF249" s="96">
        <f>0.8*0.48</f>
        <v>0.38400000000000001</v>
      </c>
      <c r="CG249" s="92" t="s">
        <v>540</v>
      </c>
      <c r="CH249" s="98">
        <f t="shared" ref="CH249:CH250" si="310">SQRT((10%*10%)+(30%+30%))</f>
        <v>0.78102496759066542</v>
      </c>
      <c r="CI249" s="98">
        <f t="shared" si="309"/>
        <v>0.78102496759066542</v>
      </c>
      <c r="CJ249" s="97" t="s">
        <v>494</v>
      </c>
      <c r="CK249" s="39"/>
      <c r="CL249" s="29"/>
      <c r="CM249" s="29"/>
      <c r="CN249" s="39"/>
      <c r="CO249" s="39"/>
      <c r="CP249" s="39"/>
      <c r="CQ249" s="41"/>
      <c r="CR249" s="39"/>
      <c r="CS249" s="96"/>
      <c r="CT249" s="92"/>
      <c r="CU249" s="41"/>
      <c r="CV249" s="41"/>
      <c r="CW249" s="41"/>
      <c r="CX249" s="39"/>
      <c r="CY249" s="39"/>
      <c r="CZ249" s="41"/>
      <c r="DA249" s="41"/>
      <c r="DB249" s="41"/>
      <c r="DC249" s="41"/>
      <c r="DD249" s="39"/>
      <c r="DE249" s="39"/>
      <c r="DF249" s="41"/>
      <c r="DG249" s="41"/>
      <c r="DH249" s="41"/>
      <c r="DI249" s="42"/>
      <c r="DJ249" s="43"/>
      <c r="DK249" s="43">
        <v>0.35</v>
      </c>
    </row>
    <row r="250" spans="24:137" s="30" customFormat="1" ht="15.75" thickBot="1">
      <c r="X250" s="67"/>
      <c r="AB250" s="68"/>
      <c r="AD250" s="71"/>
      <c r="AE250" s="71"/>
      <c r="AG250" s="71"/>
      <c r="AH250" s="73"/>
      <c r="AJ250" s="74"/>
      <c r="AL250" s="78"/>
      <c r="AM250" s="78"/>
      <c r="AO250" s="71"/>
      <c r="AR250" s="74"/>
      <c r="AW250" s="71"/>
      <c r="AZ250" s="74"/>
      <c r="BB250" s="71"/>
      <c r="BD250" s="71"/>
      <c r="BG250" s="74"/>
      <c r="BI250" s="71"/>
      <c r="BK250" s="71"/>
      <c r="BN250" s="74"/>
      <c r="BP250" s="71"/>
      <c r="BQ250" s="71"/>
      <c r="BV250" s="74"/>
      <c r="BX250" s="71"/>
      <c r="CA250" s="116"/>
      <c r="CB250" s="31"/>
      <c r="CC250" s="110"/>
      <c r="CD250" s="111" t="s">
        <v>542</v>
      </c>
      <c r="CE250" s="92" t="s">
        <v>539</v>
      </c>
      <c r="CF250" s="96">
        <f>0.8*0.48</f>
        <v>0.38400000000000001</v>
      </c>
      <c r="CG250" s="92" t="s">
        <v>540</v>
      </c>
      <c r="CH250" s="98">
        <f t="shared" si="310"/>
        <v>0.78102496759066542</v>
      </c>
      <c r="CI250" s="98">
        <f t="shared" si="309"/>
        <v>0.78102496759066542</v>
      </c>
      <c r="CJ250" s="97" t="s">
        <v>494</v>
      </c>
      <c r="CK250" s="39"/>
      <c r="CL250" s="29"/>
      <c r="CM250" s="29"/>
      <c r="CN250" s="39"/>
      <c r="CO250" s="39"/>
      <c r="CP250" s="39"/>
      <c r="CQ250" s="41"/>
      <c r="CR250" s="39"/>
      <c r="CS250" s="96"/>
      <c r="CT250" s="92"/>
      <c r="CU250" s="41"/>
      <c r="CV250" s="41"/>
      <c r="CW250" s="41"/>
      <c r="CX250" s="39"/>
      <c r="CY250" s="39"/>
      <c r="CZ250" s="41"/>
      <c r="DA250" s="41"/>
      <c r="DB250" s="41"/>
      <c r="DC250" s="41"/>
      <c r="DD250" s="39"/>
      <c r="DE250" s="39"/>
      <c r="DF250" s="41"/>
      <c r="DG250" s="41"/>
      <c r="DH250" s="41"/>
      <c r="DI250" s="42"/>
      <c r="DJ250" s="43"/>
      <c r="DK250" s="43">
        <v>0.35</v>
      </c>
    </row>
    <row r="251" spans="24:137" s="30" customFormat="1" ht="15.75" thickBot="1">
      <c r="X251" s="67"/>
      <c r="AB251" s="68"/>
      <c r="AD251" s="71"/>
      <c r="AE251" s="71"/>
      <c r="AG251" s="71"/>
      <c r="AH251" s="73"/>
      <c r="AJ251" s="74"/>
      <c r="AL251" s="78"/>
      <c r="AM251" s="78"/>
      <c r="AO251" s="71"/>
      <c r="AR251" s="74"/>
      <c r="AW251" s="71"/>
      <c r="AZ251" s="74"/>
      <c r="BB251" s="71"/>
      <c r="BD251" s="71"/>
      <c r="BG251" s="74"/>
      <c r="BI251" s="71"/>
      <c r="BK251" s="71"/>
      <c r="BN251" s="74"/>
      <c r="BP251" s="71"/>
      <c r="BQ251" s="71"/>
      <c r="BV251" s="74"/>
      <c r="BX251" s="71"/>
      <c r="CA251" s="116"/>
      <c r="CC251" s="110"/>
      <c r="CD251" s="111" t="s">
        <v>543</v>
      </c>
      <c r="CE251" s="92" t="s">
        <v>539</v>
      </c>
      <c r="CF251" s="96">
        <f>0.2*0.12</f>
        <v>2.4E-2</v>
      </c>
      <c r="CG251" s="92" t="s">
        <v>540</v>
      </c>
      <c r="CH251" s="98">
        <f>SQRT((30%*30%)+(30%+30%))</f>
        <v>0.83066238629180744</v>
      </c>
      <c r="CI251" s="98">
        <f t="shared" ref="CI251:CI252" si="311">SQRT((30%*30%)+(30%+30%))</f>
        <v>0.83066238629180744</v>
      </c>
      <c r="CJ251" s="97" t="s">
        <v>494</v>
      </c>
      <c r="CK251" s="39"/>
      <c r="CL251" s="29"/>
      <c r="CM251" s="29"/>
      <c r="CN251" s="39"/>
      <c r="CO251" s="39"/>
      <c r="CP251" s="39"/>
      <c r="CQ251" s="41"/>
      <c r="CR251" s="39"/>
      <c r="CS251" s="96"/>
      <c r="CT251" s="92"/>
      <c r="CU251" s="41"/>
      <c r="CV251" s="41"/>
      <c r="CW251" s="41"/>
      <c r="CX251" s="39"/>
      <c r="CY251" s="39"/>
      <c r="CZ251" s="41"/>
      <c r="DA251" s="41"/>
      <c r="DB251" s="41"/>
      <c r="DC251" s="41"/>
      <c r="DD251" s="39"/>
      <c r="DE251" s="39"/>
      <c r="DF251" s="41"/>
      <c r="DG251" s="41"/>
      <c r="DH251" s="41"/>
      <c r="DI251" s="42"/>
      <c r="DJ251" s="43"/>
      <c r="DK251" s="43">
        <v>0.35</v>
      </c>
    </row>
    <row r="252" spans="24:137" s="30" customFormat="1" ht="15.75" thickBot="1">
      <c r="X252" s="67"/>
      <c r="AB252" s="68"/>
      <c r="AC252" s="31"/>
      <c r="AD252" s="116"/>
      <c r="AE252" s="116"/>
      <c r="AF252" s="31"/>
      <c r="AG252" s="116"/>
      <c r="AH252" s="117"/>
      <c r="AI252" s="31"/>
      <c r="AJ252" s="118"/>
      <c r="AK252" s="31"/>
      <c r="AL252" s="119"/>
      <c r="AM252" s="119"/>
      <c r="AN252" s="31"/>
      <c r="AO252" s="116"/>
      <c r="AP252" s="31"/>
      <c r="AQ252" s="31"/>
      <c r="AR252" s="118"/>
      <c r="AS252" s="31"/>
      <c r="AT252" s="31"/>
      <c r="AU252" s="31"/>
      <c r="AV252" s="31"/>
      <c r="AW252" s="116"/>
      <c r="AX252" s="31"/>
      <c r="AY252" s="31"/>
      <c r="AZ252" s="118"/>
      <c r="BA252" s="31"/>
      <c r="BB252" s="31"/>
      <c r="BC252" s="31"/>
      <c r="BD252" s="31"/>
      <c r="BE252" s="31"/>
      <c r="BF252" s="31"/>
      <c r="BG252" s="118"/>
      <c r="BH252" s="31"/>
      <c r="BI252" s="31"/>
      <c r="BJ252" s="31"/>
      <c r="BK252" s="31"/>
      <c r="BL252" s="31"/>
      <c r="BM252" s="31"/>
      <c r="BN252" s="118"/>
      <c r="BO252" s="31"/>
      <c r="BP252" s="31"/>
      <c r="BQ252" s="31"/>
      <c r="BR252" s="31"/>
      <c r="BS252" s="31"/>
      <c r="BT252" s="31"/>
      <c r="BU252" s="31"/>
      <c r="BV252" s="118"/>
      <c r="BW252" s="31"/>
      <c r="BX252" s="31"/>
      <c r="BY252" s="31"/>
      <c r="BZ252" s="31"/>
      <c r="CA252" s="31"/>
      <c r="CB252" s="117"/>
      <c r="CC252" s="110"/>
      <c r="CD252" s="111" t="s">
        <v>544</v>
      </c>
      <c r="CE252" s="92" t="s">
        <v>539</v>
      </c>
      <c r="CF252" s="96">
        <f>0.8*0.48</f>
        <v>0.38400000000000001</v>
      </c>
      <c r="CG252" s="92" t="s">
        <v>540</v>
      </c>
      <c r="CH252" s="98">
        <f t="shared" ref="CH252" si="312">SQRT((30%*30%)+(30%+30%))</f>
        <v>0.83066238629180744</v>
      </c>
      <c r="CI252" s="98">
        <f t="shared" si="311"/>
        <v>0.83066238629180744</v>
      </c>
      <c r="CJ252" s="97" t="s">
        <v>494</v>
      </c>
      <c r="CK252" s="39"/>
      <c r="CL252" s="29"/>
      <c r="CM252" s="29"/>
      <c r="CN252" s="39"/>
      <c r="CO252" s="39"/>
      <c r="CP252" s="39"/>
      <c r="CQ252" s="41"/>
      <c r="CR252" s="39"/>
      <c r="CS252" s="96"/>
      <c r="CT252" s="92"/>
      <c r="CU252" s="41"/>
      <c r="CV252" s="41"/>
      <c r="CW252" s="41"/>
      <c r="CX252" s="39"/>
      <c r="CY252" s="39"/>
      <c r="CZ252" s="41"/>
      <c r="DA252" s="41"/>
      <c r="DB252" s="41"/>
      <c r="DC252" s="41"/>
      <c r="DD252" s="39"/>
      <c r="DE252" s="39"/>
      <c r="DF252" s="41"/>
      <c r="DG252" s="41"/>
      <c r="DH252" s="41"/>
      <c r="DI252" s="42"/>
      <c r="DJ252" s="43"/>
      <c r="DK252" s="43">
        <v>0.35</v>
      </c>
    </row>
    <row r="253" spans="24:137" s="30" customFormat="1" ht="15.75" thickBot="1">
      <c r="X253" s="67"/>
      <c r="AB253" s="68"/>
      <c r="AC253" s="31"/>
      <c r="AD253" s="116"/>
      <c r="AE253" s="116"/>
      <c r="AF253" s="31"/>
      <c r="AG253" s="116"/>
      <c r="AH253" s="117"/>
      <c r="AI253" s="31"/>
      <c r="AJ253" s="118"/>
      <c r="AK253" s="31"/>
      <c r="AL253" s="119"/>
      <c r="AM253" s="119"/>
      <c r="AN253" s="31"/>
      <c r="AO253" s="116"/>
      <c r="AP253" s="31"/>
      <c r="AQ253" s="31"/>
      <c r="AR253" s="118"/>
      <c r="AS253" s="31"/>
      <c r="AT253" s="31"/>
      <c r="AU253" s="31"/>
      <c r="AV253" s="31"/>
      <c r="AW253" s="116"/>
      <c r="AX253" s="31"/>
      <c r="AY253" s="31"/>
      <c r="AZ253" s="118"/>
      <c r="BA253" s="31"/>
      <c r="BB253" s="31"/>
      <c r="BC253" s="31"/>
      <c r="BD253" s="31"/>
      <c r="BE253" s="31"/>
      <c r="BF253" s="31"/>
      <c r="BG253" s="118"/>
      <c r="BH253" s="31"/>
      <c r="BI253" s="31"/>
      <c r="BJ253" s="31"/>
      <c r="BK253" s="31"/>
      <c r="BL253" s="31"/>
      <c r="BM253" s="31"/>
      <c r="BN253" s="118"/>
      <c r="BO253" s="31"/>
      <c r="BP253" s="31"/>
      <c r="BQ253" s="31"/>
      <c r="BR253" s="31"/>
      <c r="BS253" s="31"/>
      <c r="BT253" s="31"/>
      <c r="BU253" s="31"/>
      <c r="BV253" s="118"/>
      <c r="BW253" s="31"/>
      <c r="BX253" s="31"/>
      <c r="BY253" s="31"/>
      <c r="BZ253" s="31"/>
      <c r="CA253" s="31" t="s">
        <v>545</v>
      </c>
      <c r="CB253" s="117">
        <f>BB256</f>
        <v>5.2590000000000005E-2</v>
      </c>
      <c r="CC253" s="110"/>
      <c r="CD253" s="111" t="s">
        <v>546</v>
      </c>
      <c r="CE253" s="92" t="s">
        <v>539</v>
      </c>
      <c r="CF253" s="96">
        <f>0.5*0.3</f>
        <v>0.15</v>
      </c>
      <c r="CG253" s="92" t="s">
        <v>540</v>
      </c>
      <c r="CH253" s="98">
        <f t="shared" ref="CH253:CI253" si="313">SQRT((10%*10%)+(30%+30%))</f>
        <v>0.78102496759066542</v>
      </c>
      <c r="CI253" s="98">
        <f t="shared" si="313"/>
        <v>0.78102496759066542</v>
      </c>
      <c r="CJ253" s="97" t="s">
        <v>494</v>
      </c>
      <c r="CK253" s="39"/>
      <c r="CL253" s="29"/>
      <c r="CM253" s="29"/>
      <c r="CN253" s="39"/>
      <c r="CO253" s="39"/>
      <c r="CP253" s="39"/>
      <c r="CQ253" s="41"/>
      <c r="CR253" s="39"/>
      <c r="CS253" s="96"/>
      <c r="CT253" s="92"/>
      <c r="CU253" s="41"/>
      <c r="CV253" s="41"/>
      <c r="CW253" s="41"/>
      <c r="CX253" s="39"/>
      <c r="CY253" s="39"/>
      <c r="CZ253" s="41"/>
      <c r="DA253" s="41"/>
      <c r="DB253" s="41"/>
      <c r="DC253" s="41"/>
      <c r="DD253" s="39"/>
      <c r="DE253" s="39"/>
      <c r="DF253" s="41"/>
      <c r="DG253" s="41"/>
      <c r="DH253" s="41"/>
      <c r="DI253" s="42"/>
      <c r="DJ253" s="43"/>
      <c r="DK253" s="43">
        <v>0.35</v>
      </c>
    </row>
    <row r="254" spans="24:137" s="31" customFormat="1" ht="28.15" thickBot="1">
      <c r="X254" s="114"/>
      <c r="AB254" s="115"/>
      <c r="AD254" s="116"/>
      <c r="AE254" s="116"/>
      <c r="AG254" s="116"/>
      <c r="AH254" s="117"/>
      <c r="AJ254" s="118"/>
      <c r="AL254" s="119"/>
      <c r="AM254" s="119"/>
      <c r="AO254" s="116"/>
      <c r="AR254" s="118"/>
      <c r="AW254" s="116"/>
      <c r="AZ254" s="118"/>
      <c r="BB254" s="31" t="s">
        <v>547</v>
      </c>
      <c r="BG254" s="118"/>
      <c r="BI254" s="31" t="s">
        <v>547</v>
      </c>
      <c r="BN254" s="118"/>
      <c r="BV254" s="118"/>
      <c r="CA254" s="31" t="s">
        <v>548</v>
      </c>
      <c r="CB254" s="117">
        <f>BC256</f>
        <v>2.6295000000000002E-2</v>
      </c>
      <c r="CC254" s="110" t="s">
        <v>549</v>
      </c>
      <c r="CD254" s="111" t="s">
        <v>550</v>
      </c>
      <c r="CE254" s="92" t="s">
        <v>532</v>
      </c>
      <c r="CF254" s="96">
        <v>0.2</v>
      </c>
      <c r="CG254" s="92" t="s">
        <v>533</v>
      </c>
      <c r="CH254" s="98">
        <v>0.05</v>
      </c>
      <c r="CI254" s="98">
        <v>0.39</v>
      </c>
      <c r="CJ254" s="97" t="s">
        <v>442</v>
      </c>
      <c r="CK254" s="137"/>
      <c r="CN254" s="137"/>
      <c r="CO254" s="137"/>
      <c r="CP254" s="137"/>
      <c r="CQ254" s="138"/>
      <c r="CR254" s="137"/>
      <c r="CS254" s="95">
        <f>0.25*0.9*25</f>
        <v>5.625</v>
      </c>
      <c r="CT254" s="140" t="s">
        <v>551</v>
      </c>
      <c r="CU254" s="138"/>
      <c r="CV254" s="138"/>
      <c r="CW254" s="138"/>
      <c r="CX254" s="137"/>
      <c r="CY254" s="137"/>
      <c r="CZ254" s="138"/>
      <c r="DA254" s="138"/>
      <c r="DB254" s="138"/>
      <c r="DC254" s="138"/>
      <c r="DD254" s="137"/>
      <c r="DE254" s="137"/>
      <c r="DF254" s="138"/>
      <c r="DG254" s="138"/>
      <c r="DH254" s="138"/>
      <c r="DI254" s="138"/>
      <c r="DJ254" s="43">
        <v>0.05</v>
      </c>
      <c r="DK254" s="43">
        <v>0.35</v>
      </c>
      <c r="EG254" s="30"/>
    </row>
    <row r="255" spans="24:137" s="31" customFormat="1" ht="28.15" thickBot="1">
      <c r="X255" s="114"/>
      <c r="AB255" s="115"/>
      <c r="AC255" s="30"/>
      <c r="AD255" s="71"/>
      <c r="AE255" s="71"/>
      <c r="AF255" s="30"/>
      <c r="AG255" s="71"/>
      <c r="AH255" s="73"/>
      <c r="AI255" s="30"/>
      <c r="AJ255" s="74"/>
      <c r="AK255" s="30"/>
      <c r="AL255" s="78"/>
      <c r="AM255" s="78"/>
      <c r="AN255" s="30"/>
      <c r="AO255" s="71" t="s">
        <v>552</v>
      </c>
      <c r="AP255" s="30" t="s">
        <v>553</v>
      </c>
      <c r="AQ255" s="30" t="s">
        <v>554</v>
      </c>
      <c r="AR255" s="74" t="s">
        <v>555</v>
      </c>
      <c r="AS255" s="30" t="s">
        <v>556</v>
      </c>
      <c r="AT255" s="30"/>
      <c r="AU255" s="30"/>
      <c r="AV255" s="30"/>
      <c r="AW255" s="71"/>
      <c r="AX255" s="30"/>
      <c r="AY255" s="120"/>
      <c r="AZ255" s="123" t="s">
        <v>557</v>
      </c>
      <c r="BA255" s="126" t="s">
        <v>557</v>
      </c>
      <c r="BB255" s="120" t="s">
        <v>558</v>
      </c>
      <c r="BC255" s="120" t="s">
        <v>559</v>
      </c>
      <c r="BD255" s="120" t="s">
        <v>560</v>
      </c>
      <c r="BE255" s="30"/>
      <c r="BF255" s="120"/>
      <c r="BG255" s="123" t="s">
        <v>557</v>
      </c>
      <c r="BH255" s="126" t="s">
        <v>557</v>
      </c>
      <c r="BI255" s="120" t="s">
        <v>558</v>
      </c>
      <c r="BJ255" s="120" t="s">
        <v>559</v>
      </c>
      <c r="BK255" s="120" t="s">
        <v>560</v>
      </c>
      <c r="BL255" s="120" t="s">
        <v>561</v>
      </c>
      <c r="BM255" s="120" t="s">
        <v>562</v>
      </c>
      <c r="BN255" s="131" t="s">
        <v>563</v>
      </c>
      <c r="BO255" s="132" t="s">
        <v>563</v>
      </c>
      <c r="BP255" s="133" t="s">
        <v>564</v>
      </c>
      <c r="BQ255" s="133" t="s">
        <v>565</v>
      </c>
      <c r="BR255" s="30"/>
      <c r="BS255" s="30"/>
      <c r="BT255" s="120" t="s">
        <v>561</v>
      </c>
      <c r="BU255" s="120" t="s">
        <v>562</v>
      </c>
      <c r="BV255" s="131" t="s">
        <v>563</v>
      </c>
      <c r="BW255" s="132" t="s">
        <v>563</v>
      </c>
      <c r="BX255" s="133" t="s">
        <v>565</v>
      </c>
      <c r="BY255" s="30"/>
      <c r="BZ255" s="30"/>
      <c r="CA255" s="31" t="s">
        <v>566</v>
      </c>
      <c r="CB255" s="117">
        <f>BD256</f>
        <v>3.7864800000000004E-2</v>
      </c>
      <c r="CC255" s="110" t="s">
        <v>549</v>
      </c>
      <c r="CD255" s="111" t="s">
        <v>567</v>
      </c>
      <c r="CE255" s="92" t="s">
        <v>539</v>
      </c>
      <c r="CF255" s="96">
        <v>0.48</v>
      </c>
      <c r="CG255" s="92" t="s">
        <v>540</v>
      </c>
      <c r="CH255" s="98">
        <v>0.05</v>
      </c>
      <c r="CI255" s="98">
        <v>0.32</v>
      </c>
      <c r="CJ255" s="97" t="s">
        <v>442</v>
      </c>
      <c r="CK255" s="137"/>
      <c r="CN255" s="137"/>
      <c r="CO255" s="137"/>
      <c r="CP255" s="137"/>
      <c r="CQ255" s="138"/>
      <c r="CR255" s="137"/>
      <c r="CS255" s="95">
        <f>0.25*0.9*25</f>
        <v>5.625</v>
      </c>
      <c r="CT255" s="140" t="s">
        <v>551</v>
      </c>
      <c r="CU255" s="138"/>
      <c r="CV255" s="138"/>
      <c r="CW255" s="138"/>
      <c r="CX255" s="137"/>
      <c r="CY255" s="137"/>
      <c r="CZ255" s="138"/>
      <c r="DA255" s="138"/>
      <c r="DB255" s="138"/>
      <c r="DC255" s="138"/>
      <c r="DD255" s="137"/>
      <c r="DE255" s="137"/>
      <c r="DF255" s="138"/>
      <c r="DG255" s="138"/>
      <c r="DH255" s="138"/>
      <c r="DI255" s="138"/>
      <c r="DJ255" s="43">
        <v>0.05</v>
      </c>
      <c r="DK255" s="43">
        <v>0.35</v>
      </c>
    </row>
    <row r="256" spans="24:137" s="31" customFormat="1" ht="15.75" thickBot="1">
      <c r="X256" s="114"/>
      <c r="AB256" s="115"/>
      <c r="AC256" s="30"/>
      <c r="AD256" s="71"/>
      <c r="AE256" s="71"/>
      <c r="AF256" s="30"/>
      <c r="AG256" s="71"/>
      <c r="AH256" s="73"/>
      <c r="AI256" s="30"/>
      <c r="AJ256" s="74"/>
      <c r="AK256" s="30"/>
      <c r="AL256" s="78"/>
      <c r="AM256" s="78"/>
      <c r="AN256" s="120" t="s">
        <v>568</v>
      </c>
      <c r="AO256" s="71">
        <f>(0.449*40%)+(0.171*90%)+(0.047*85%)+(0.026*80%)+(0.007*84%)+(0.108*100%)+(0.029*100%)+(0.033*100%)+(0.13*90%)</f>
        <v>0.68713000000000002</v>
      </c>
      <c r="AP256" s="71">
        <f>(0.449*38%)+(0.171*46%)+(0.047*50%)+(0.026*50%)+(0.007*67%)+(0.108*75%)+(0.029*0%)+(0.033*0%)+(0.013*3%)</f>
        <v>0.37186000000000008</v>
      </c>
      <c r="AQ256" s="71">
        <f>(0.449*0%)+(0.171*1%)+(0.047*0%)+(0.026*20%)+(0.007*20%)+(0.108*100%)+(0.029*0%)+(0.033*0%)+(0.013*100%)</f>
        <v>0.12931000000000001</v>
      </c>
      <c r="AR256" s="74">
        <v>1</v>
      </c>
      <c r="AS256" s="121">
        <f t="shared" ref="AS256:AS261" si="314">AO256*AP256*AQ256*AR256*44/12</f>
        <v>0.12114958123531271</v>
      </c>
      <c r="AT256" s="30"/>
      <c r="AU256" s="30"/>
      <c r="AV256" s="30"/>
      <c r="AW256" s="71"/>
      <c r="AX256" s="30"/>
      <c r="AY256" s="120" t="s">
        <v>568</v>
      </c>
      <c r="AZ256" s="124" t="s">
        <v>569</v>
      </c>
      <c r="BA256" s="127" t="s">
        <v>569</v>
      </c>
      <c r="BB256" s="119">
        <f>((((0.672*0.15)+(0.126*0.4)+(0.003*0.43)+(0.022*0.24)+(0*0.39))*0.5*1)*0.5*(16/12))*(1-0)</f>
        <v>5.2590000000000005E-2</v>
      </c>
      <c r="BC256" s="119">
        <f>((((0.672*0.15)+(0.126*0.4)+(0.003*0.43)+(0.022*0.24)+(0*0.39))*0.5*0.5)*0.5*(16/12))*(1-0)</f>
        <v>2.6295000000000002E-2</v>
      </c>
      <c r="BD256" s="119">
        <f>((((0.672*0.15)+(0.126*0.4)+(0.003*0.43)+(0.022*0.24)+(0*0.39))*0.5*0.8)*0.5*(16/12))*(1-0.1)</f>
        <v>3.7864800000000004E-2</v>
      </c>
      <c r="BE256" s="30"/>
      <c r="BF256" s="120" t="s">
        <v>568</v>
      </c>
      <c r="BG256" s="124" t="s">
        <v>569</v>
      </c>
      <c r="BH256" s="127" t="s">
        <v>569</v>
      </c>
      <c r="BI256" s="119">
        <f>((((0.672*0.15)+(0.126*0.4)+(0.003*0.43)+(0.022*0.24)+(0*0.39))*0.5*1)*0.5*(16/12))*(1-0)</f>
        <v>5.2590000000000005E-2</v>
      </c>
      <c r="BJ256" s="119">
        <f>((((0.672*0.15)+(0.126*0.4)+(0.003*0.43)+(0.022*0.24)+(0*0.39))*0.5*0.5)*0.5*(16/12))*(1-0)</f>
        <v>2.6295000000000002E-2</v>
      </c>
      <c r="BK256" s="119">
        <f>((((0.672*0.15)+(0.126*0.4)+(0.003*0.43)+(0.022*0.24)+(0*0.39))*0.5*0.8)*0.5*(16/12))*(1-0.1)</f>
        <v>3.7864800000000004E-2</v>
      </c>
      <c r="BL256" s="119">
        <f>((((0.672*0.15)+(0.126*0.4)+(0.003*0.43)+(0.022*0.24)+(0*0.39))*0.5*0.4)*0.5*(16/12))*(1-0.1)</f>
        <v>1.8932400000000002E-2</v>
      </c>
      <c r="BM256" s="119">
        <f>((((0.672*0.15)+(0.126*0.4)+(0.003*0.43)+(0.022*0.24)+(0*0.39))*0.5*0.6)*0.5*(16/12))*(1-0.1)</f>
        <v>2.83986E-2</v>
      </c>
      <c r="BN256" s="122">
        <f t="shared" ref="BN256:BN265" si="315">AVERAGE(BA256:BL256)</f>
        <v>3.6061714285714294E-2</v>
      </c>
      <c r="BO256" s="134">
        <f t="shared" ref="BO256:BO265" si="316">AVERAGE(BB256:BM256)</f>
        <v>3.5103825000000005E-2</v>
      </c>
      <c r="BP256" s="134">
        <f t="shared" ref="BP256:BP265" si="317">STDEV(BB256:BM256)</f>
        <v>1.246964556006188E-2</v>
      </c>
      <c r="BQ256" s="130">
        <f t="shared" ref="BQ256:BQ265" si="318">1-((BO256-((BP256*2.78)/(SQRT(5))))/BO256)</f>
        <v>0.44163090976440589</v>
      </c>
      <c r="BR256" s="30"/>
      <c r="BS256" s="30"/>
      <c r="BT256" s="119">
        <f>((((0.449*0.15)+(0.171*0.4)+(0.047*0.43)+(0.026*0.24)+(0.007*0.39))*0.5*0.4)*0.5*(16/12))*(1-0.1)</f>
        <v>1.9791599999999999E-2</v>
      </c>
      <c r="BU256" s="119">
        <f>((((0.449*0.15)+(0.171*0.4)+(0.047*0.43)+(0.026*0.24)+(0.007*0.39))*0.5*0.6)*0.5*(16/12))*(1-0.1)</f>
        <v>2.9687399999999996E-2</v>
      </c>
      <c r="BV256" s="122">
        <f t="shared" ref="BV256:BV265" si="319">AVERAGE(BP256:BT256)</f>
        <v>0.15796405177482259</v>
      </c>
      <c r="BW256" s="134">
        <f t="shared" ref="BW256:BW265" si="320">AVERAGE(BQ256:BU256)</f>
        <v>0.16370330325480195</v>
      </c>
      <c r="BX256" s="130" t="e">
        <f>1-((BW256-((#REF!*2.78)/(SQRT(5))))/BW256)</f>
        <v>#REF!</v>
      </c>
      <c r="BY256" s="30"/>
      <c r="BZ256" s="30"/>
      <c r="CA256" s="31" t="s">
        <v>570</v>
      </c>
      <c r="CB256" s="117">
        <f>BL256</f>
        <v>1.8932400000000002E-2</v>
      </c>
      <c r="CC256" s="110" t="s">
        <v>571</v>
      </c>
      <c r="CD256" s="111" t="s">
        <v>572</v>
      </c>
      <c r="CE256" s="92" t="s">
        <v>573</v>
      </c>
      <c r="CF256" s="135">
        <f>BB256</f>
        <v>5.2590000000000005E-2</v>
      </c>
      <c r="CG256" s="92" t="s">
        <v>574</v>
      </c>
      <c r="CH256" s="98">
        <v>0.05</v>
      </c>
      <c r="CI256" s="98">
        <v>0.3</v>
      </c>
      <c r="CJ256" s="97" t="s">
        <v>494</v>
      </c>
      <c r="CK256" s="137"/>
      <c r="CN256" s="137"/>
      <c r="CO256" s="137"/>
      <c r="CP256" s="137"/>
      <c r="CQ256" s="138"/>
      <c r="CR256" s="137"/>
      <c r="CS256" s="95"/>
      <c r="CT256" s="140"/>
      <c r="CU256" s="138"/>
      <c r="CV256" s="138"/>
      <c r="CW256" s="138"/>
      <c r="CX256" s="137"/>
      <c r="CY256" s="137"/>
      <c r="CZ256" s="138"/>
      <c r="DA256" s="138"/>
      <c r="DB256" s="138"/>
      <c r="DC256" s="138"/>
      <c r="DD256" s="137"/>
      <c r="DE256" s="137"/>
      <c r="DF256" s="138"/>
      <c r="DG256" s="138"/>
      <c r="DH256" s="138"/>
      <c r="DI256" s="138"/>
      <c r="DJ256" s="43">
        <v>0.28999999999999998</v>
      </c>
      <c r="DK256" s="43">
        <v>0.35</v>
      </c>
    </row>
    <row r="257" spans="24:137" s="31" customFormat="1" ht="15.75" thickBot="1">
      <c r="X257" s="114"/>
      <c r="AB257" s="115"/>
      <c r="AC257" s="30"/>
      <c r="AD257" s="71"/>
      <c r="AE257" s="71"/>
      <c r="AF257" s="30"/>
      <c r="AG257" s="71"/>
      <c r="AH257" s="73"/>
      <c r="AI257" s="30"/>
      <c r="AJ257" s="74"/>
      <c r="AK257" s="30"/>
      <c r="AL257" s="78"/>
      <c r="AM257" s="78"/>
      <c r="AN257" s="120" t="s">
        <v>575</v>
      </c>
      <c r="AO257" s="71">
        <f>1-0.824</f>
        <v>0.17600000000000005</v>
      </c>
      <c r="AP257" s="30">
        <v>0.5</v>
      </c>
      <c r="AQ257" s="30">
        <v>0</v>
      </c>
      <c r="AR257" s="74">
        <v>1</v>
      </c>
      <c r="AS257" s="121">
        <f t="shared" si="314"/>
        <v>0</v>
      </c>
      <c r="AT257" s="30"/>
      <c r="AU257" s="30"/>
      <c r="AV257" s="30"/>
      <c r="AW257" s="71"/>
      <c r="AX257" s="30"/>
      <c r="AY257" s="120" t="s">
        <v>575</v>
      </c>
      <c r="AZ257" s="124">
        <v>0.05</v>
      </c>
      <c r="BA257" s="127">
        <v>0.05</v>
      </c>
      <c r="BB257" s="119">
        <f t="shared" ref="BB257:BB265" si="321">((BA257*0.5*1)*0.5*(16/12))*(1-0)</f>
        <v>1.6666666666666666E-2</v>
      </c>
      <c r="BC257" s="119">
        <f t="shared" ref="BC257:BC265" si="322">((BA257*0.5*0.5)*0.5*(16/12))*(1-0)</f>
        <v>8.3333333333333332E-3</v>
      </c>
      <c r="BD257" s="119">
        <f t="shared" ref="BD257:BD265" si="323">((BA257*0.5*0.8)*0.5*(16/12))*(1-0.1)</f>
        <v>1.2000000000000002E-2</v>
      </c>
      <c r="BE257" s="30"/>
      <c r="BF257" s="120" t="s">
        <v>575</v>
      </c>
      <c r="BG257" s="124">
        <v>0.05</v>
      </c>
      <c r="BH257" s="127">
        <v>0.05</v>
      </c>
      <c r="BI257" s="119">
        <f t="shared" ref="BI257:BI265" si="324">((BH257*0.5*1)*0.5*(16/12))*(1-0)</f>
        <v>1.6666666666666666E-2</v>
      </c>
      <c r="BJ257" s="119">
        <f t="shared" ref="BJ257:BJ265" si="325">((BH257*0.5*0.5)*0.5*(16/12))*(1-0)</f>
        <v>8.3333333333333332E-3</v>
      </c>
      <c r="BK257" s="119">
        <f t="shared" ref="BK257:BK265" si="326">((BH257*0.5*0.8)*0.5*(16/12))*(1-0.1)</f>
        <v>1.2000000000000002E-2</v>
      </c>
      <c r="BL257" s="119">
        <f t="shared" ref="BL257:BL265" si="327">((BA257*0.5*0.4)*0.5*(16/12))*(1-0.1)</f>
        <v>6.000000000000001E-3</v>
      </c>
      <c r="BM257" s="119">
        <f t="shared" ref="BM257:BM265" si="328">((BA257*0.5*0.6)*0.5*(16/12))*(1-0.1)</f>
        <v>8.9999999999999993E-3</v>
      </c>
      <c r="BN257" s="122">
        <f t="shared" si="315"/>
        <v>2.3E-2</v>
      </c>
      <c r="BO257" s="134">
        <f t="shared" si="316"/>
        <v>1.8900000000000004E-2</v>
      </c>
      <c r="BP257" s="134">
        <f t="shared" si="317"/>
        <v>1.6757566929083593E-2</v>
      </c>
      <c r="BQ257" s="130">
        <f t="shared" si="318"/>
        <v>1.1023232109925354</v>
      </c>
      <c r="BR257" s="30"/>
      <c r="BS257" s="30"/>
      <c r="BT257" s="119">
        <f t="shared" ref="BT257:BT265" si="329">((BP257*0.5*0.4)*0.5*(16/12))*(1-0.1)</f>
        <v>2.0109080314900316E-3</v>
      </c>
      <c r="BU257" s="119">
        <f t="shared" ref="BU257:BU265" si="330">((BP257*0.5*0.6)*0.5*(16/12))*(1-0.1)</f>
        <v>3.0163620472350465E-3</v>
      </c>
      <c r="BV257" s="122">
        <f t="shared" si="319"/>
        <v>0.37369722865103633</v>
      </c>
      <c r="BW257" s="134">
        <f t="shared" si="320"/>
        <v>0.36911682702375348</v>
      </c>
      <c r="BX257" s="130" t="e">
        <f>1-((BW257-((#REF!*2.78)/(SQRT(5))))/BW257)</f>
        <v>#REF!</v>
      </c>
      <c r="BY257" s="30"/>
      <c r="BZ257" s="30"/>
      <c r="CA257" s="31" t="s">
        <v>576</v>
      </c>
      <c r="CB257" s="117">
        <f>BM256</f>
        <v>2.83986E-2</v>
      </c>
      <c r="CC257" s="110"/>
      <c r="CD257" s="111" t="s">
        <v>577</v>
      </c>
      <c r="CE257" s="92" t="s">
        <v>573</v>
      </c>
      <c r="CF257" s="135">
        <f>BC256</f>
        <v>2.6295000000000002E-2</v>
      </c>
      <c r="CG257" s="92" t="s">
        <v>574</v>
      </c>
      <c r="CH257" s="98">
        <v>0.05</v>
      </c>
      <c r="CI257" s="98">
        <v>0.3</v>
      </c>
      <c r="CJ257" s="97" t="s">
        <v>494</v>
      </c>
      <c r="CK257" s="137"/>
      <c r="CN257" s="137"/>
      <c r="CO257" s="137"/>
      <c r="CP257" s="137"/>
      <c r="CQ257" s="138"/>
      <c r="CR257" s="137"/>
      <c r="CS257" s="95"/>
      <c r="CT257" s="140"/>
      <c r="CU257" s="138"/>
      <c r="CV257" s="138"/>
      <c r="CW257" s="138"/>
      <c r="CX257" s="137"/>
      <c r="CY257" s="137"/>
      <c r="CZ257" s="138"/>
      <c r="DA257" s="138"/>
      <c r="DB257" s="138"/>
      <c r="DC257" s="138"/>
      <c r="DD257" s="137"/>
      <c r="DE257" s="137"/>
      <c r="DF257" s="138"/>
      <c r="DG257" s="138"/>
      <c r="DH257" s="138"/>
      <c r="DI257" s="138"/>
      <c r="DJ257" s="43"/>
      <c r="DK257" s="43">
        <v>0.35</v>
      </c>
    </row>
    <row r="258" spans="24:137" s="31" customFormat="1" ht="15.75" thickBot="1">
      <c r="X258" s="114"/>
      <c r="AB258" s="115"/>
      <c r="AC258" s="30"/>
      <c r="AD258" s="71"/>
      <c r="AE258" s="71"/>
      <c r="AF258" s="30"/>
      <c r="AG258" s="71"/>
      <c r="AH258" s="73"/>
      <c r="AI258" s="30"/>
      <c r="AJ258" s="74"/>
      <c r="AK258" s="30"/>
      <c r="AL258" s="78"/>
      <c r="AM258" s="78"/>
      <c r="AN258" s="120" t="s">
        <v>578</v>
      </c>
      <c r="AO258" s="71">
        <f>1-0.4485</f>
        <v>0.55149999999999999</v>
      </c>
      <c r="AP258" s="30">
        <v>0.6</v>
      </c>
      <c r="AQ258" s="30">
        <v>0.4</v>
      </c>
      <c r="AR258" s="74">
        <v>1</v>
      </c>
      <c r="AS258" s="121">
        <f t="shared" si="314"/>
        <v>0.48532000000000003</v>
      </c>
      <c r="AT258" s="30"/>
      <c r="AU258" s="30"/>
      <c r="AV258" s="30"/>
      <c r="AW258" s="71"/>
      <c r="AX258" s="30"/>
      <c r="AY258" s="120" t="s">
        <v>578</v>
      </c>
      <c r="AZ258" s="124">
        <v>0.15</v>
      </c>
      <c r="BA258" s="127">
        <v>0.15</v>
      </c>
      <c r="BB258" s="119">
        <f t="shared" si="321"/>
        <v>4.9999999999999996E-2</v>
      </c>
      <c r="BC258" s="119">
        <f t="shared" si="322"/>
        <v>2.4999999999999998E-2</v>
      </c>
      <c r="BD258" s="119">
        <f t="shared" si="323"/>
        <v>3.5999999999999997E-2</v>
      </c>
      <c r="BE258" s="30"/>
      <c r="BF258" s="120" t="s">
        <v>578</v>
      </c>
      <c r="BG258" s="124">
        <v>0.15</v>
      </c>
      <c r="BH258" s="127">
        <v>0.15</v>
      </c>
      <c r="BI258" s="119">
        <f t="shared" si="324"/>
        <v>4.9999999999999996E-2</v>
      </c>
      <c r="BJ258" s="119">
        <f t="shared" si="325"/>
        <v>2.4999999999999998E-2</v>
      </c>
      <c r="BK258" s="119">
        <f t="shared" si="326"/>
        <v>3.5999999999999997E-2</v>
      </c>
      <c r="BL258" s="119">
        <f t="shared" si="327"/>
        <v>1.7999999999999999E-2</v>
      </c>
      <c r="BM258" s="119">
        <f t="shared" si="328"/>
        <v>2.7E-2</v>
      </c>
      <c r="BN258" s="122">
        <f t="shared" si="315"/>
        <v>6.9000000000000006E-2</v>
      </c>
      <c r="BO258" s="134">
        <f t="shared" si="316"/>
        <v>5.6700000000000007E-2</v>
      </c>
      <c r="BP258" s="134">
        <f t="shared" si="317"/>
        <v>5.0272700787250761E-2</v>
      </c>
      <c r="BQ258" s="130">
        <f t="shared" si="318"/>
        <v>1.1023232109925349</v>
      </c>
      <c r="BR258" s="30"/>
      <c r="BS258" s="30"/>
      <c r="BT258" s="119">
        <f t="shared" si="329"/>
        <v>6.0327240944700921E-3</v>
      </c>
      <c r="BU258" s="119">
        <f t="shared" si="330"/>
        <v>9.0490861417051368E-3</v>
      </c>
      <c r="BV258" s="122">
        <f t="shared" si="319"/>
        <v>0.38620954529141865</v>
      </c>
      <c r="BW258" s="134">
        <f t="shared" si="320"/>
        <v>0.37246834040957011</v>
      </c>
      <c r="BX258" s="130" t="e">
        <f>1-((BW258-((#REF!*2.78)/(SQRT(5))))/BW258)</f>
        <v>#REF!</v>
      </c>
      <c r="BY258" s="30"/>
      <c r="BZ258" s="30"/>
      <c r="CA258" s="117"/>
      <c r="CB258" s="117"/>
      <c r="CC258" s="110"/>
      <c r="CD258" s="111" t="s">
        <v>579</v>
      </c>
      <c r="CE258" s="92" t="s">
        <v>573</v>
      </c>
      <c r="CF258" s="135">
        <f>BD256</f>
        <v>3.7864800000000004E-2</v>
      </c>
      <c r="CG258" s="92" t="s">
        <v>574</v>
      </c>
      <c r="CH258" s="98">
        <v>0.05</v>
      </c>
      <c r="CI258" s="98">
        <v>0.3</v>
      </c>
      <c r="CJ258" s="97" t="s">
        <v>494</v>
      </c>
      <c r="CK258" s="137"/>
      <c r="CN258" s="137"/>
      <c r="CO258" s="137"/>
      <c r="CP258" s="137"/>
      <c r="CQ258" s="138"/>
      <c r="CR258" s="137"/>
      <c r="CS258" s="95"/>
      <c r="CT258" s="140"/>
      <c r="CU258" s="138"/>
      <c r="CV258" s="138"/>
      <c r="CW258" s="138"/>
      <c r="CX258" s="137"/>
      <c r="CY258" s="137"/>
      <c r="CZ258" s="138"/>
      <c r="DA258" s="138"/>
      <c r="DB258" s="138"/>
      <c r="DC258" s="138"/>
      <c r="DD258" s="137"/>
      <c r="DE258" s="137"/>
      <c r="DF258" s="138"/>
      <c r="DG258" s="138"/>
      <c r="DH258" s="138"/>
      <c r="DI258" s="138"/>
      <c r="DJ258" s="43"/>
      <c r="DK258" s="43">
        <v>0.35</v>
      </c>
    </row>
    <row r="259" spans="24:137" s="31" customFormat="1" ht="15.75" thickBot="1">
      <c r="X259" s="114"/>
      <c r="AB259" s="115"/>
      <c r="AC259" s="30"/>
      <c r="AD259" s="71"/>
      <c r="AE259" s="71"/>
      <c r="AF259" s="30"/>
      <c r="AG259" s="71"/>
      <c r="AH259" s="73"/>
      <c r="AI259" s="30"/>
      <c r="AJ259" s="74"/>
      <c r="AK259" s="30"/>
      <c r="AL259" s="78"/>
      <c r="AM259" s="78"/>
      <c r="AN259" s="120" t="s">
        <v>580</v>
      </c>
      <c r="AO259" s="71">
        <f>1-0.41</f>
        <v>0.59000000000000008</v>
      </c>
      <c r="AP259" s="30">
        <v>0.5</v>
      </c>
      <c r="AQ259" s="30">
        <v>0.9</v>
      </c>
      <c r="AR259" s="74">
        <v>1</v>
      </c>
      <c r="AS259" s="121">
        <f t="shared" si="314"/>
        <v>0.97350000000000014</v>
      </c>
      <c r="AT259" s="30"/>
      <c r="AU259" s="30"/>
      <c r="AV259" s="30"/>
      <c r="AW259" s="71"/>
      <c r="AX259" s="30"/>
      <c r="AY259" s="120" t="s">
        <v>581</v>
      </c>
      <c r="AZ259" s="124">
        <v>0.36</v>
      </c>
      <c r="BA259" s="127">
        <v>0.36</v>
      </c>
      <c r="BB259" s="119">
        <f t="shared" si="321"/>
        <v>0.12</v>
      </c>
      <c r="BC259" s="119">
        <f t="shared" si="322"/>
        <v>0.06</v>
      </c>
      <c r="BD259" s="119">
        <f t="shared" si="323"/>
        <v>8.6399999999999991E-2</v>
      </c>
      <c r="BE259" s="30"/>
      <c r="BF259" s="120" t="s">
        <v>581</v>
      </c>
      <c r="BG259" s="124">
        <v>0.36</v>
      </c>
      <c r="BH259" s="127">
        <v>0.36</v>
      </c>
      <c r="BI259" s="119">
        <f t="shared" si="324"/>
        <v>0.12</v>
      </c>
      <c r="BJ259" s="119">
        <f t="shared" si="325"/>
        <v>0.06</v>
      </c>
      <c r="BK259" s="119">
        <f t="shared" si="326"/>
        <v>8.6399999999999991E-2</v>
      </c>
      <c r="BL259" s="119">
        <f t="shared" si="327"/>
        <v>4.3199999999999995E-2</v>
      </c>
      <c r="BM259" s="119">
        <f t="shared" si="328"/>
        <v>6.4799999999999996E-2</v>
      </c>
      <c r="BN259" s="122">
        <f t="shared" si="315"/>
        <v>0.16560000000000002</v>
      </c>
      <c r="BO259" s="134">
        <f t="shared" si="316"/>
        <v>0.13607999999999998</v>
      </c>
      <c r="BP259" s="134">
        <f t="shared" si="317"/>
        <v>0.12065448188940188</v>
      </c>
      <c r="BQ259" s="130">
        <f t="shared" si="318"/>
        <v>1.1023232109925356</v>
      </c>
      <c r="BR259" s="30"/>
      <c r="BS259" s="117"/>
      <c r="BT259" s="119">
        <f t="shared" si="329"/>
        <v>1.4478537826728227E-2</v>
      </c>
      <c r="BU259" s="119">
        <f t="shared" si="330"/>
        <v>2.1717806740092334E-2</v>
      </c>
      <c r="BV259" s="122">
        <f t="shared" si="319"/>
        <v>0.41248541023622193</v>
      </c>
      <c r="BW259" s="134">
        <f t="shared" si="320"/>
        <v>0.3795065185197854</v>
      </c>
      <c r="BX259" s="130" t="e">
        <f>1-((BW259-((#REF!*2.78)/(SQRT(5))))/BW259)</f>
        <v>#REF!</v>
      </c>
      <c r="BY259" s="30"/>
      <c r="BZ259" s="117"/>
      <c r="CA259" s="117"/>
      <c r="CB259" s="30"/>
      <c r="CC259" s="110"/>
      <c r="CD259" s="111" t="s">
        <v>582</v>
      </c>
      <c r="CE259" s="92" t="s">
        <v>573</v>
      </c>
      <c r="CF259" s="135">
        <f>BL256</f>
        <v>1.8932400000000002E-2</v>
      </c>
      <c r="CG259" s="92" t="s">
        <v>574</v>
      </c>
      <c r="CH259" s="98">
        <v>0.05</v>
      </c>
      <c r="CI259" s="98">
        <v>0.3</v>
      </c>
      <c r="CJ259" s="97" t="s">
        <v>494</v>
      </c>
      <c r="CK259" s="137"/>
      <c r="CN259" s="137"/>
      <c r="CO259" s="137"/>
      <c r="CP259" s="137"/>
      <c r="CQ259" s="138"/>
      <c r="CR259" s="137"/>
      <c r="CS259" s="95"/>
      <c r="CT259" s="140"/>
      <c r="CU259" s="138"/>
      <c r="CV259" s="138"/>
      <c r="CW259" s="138"/>
      <c r="CX259" s="137"/>
      <c r="CY259" s="137"/>
      <c r="CZ259" s="138"/>
      <c r="DA259" s="138"/>
      <c r="DB259" s="138"/>
      <c r="DC259" s="138"/>
      <c r="DD259" s="137"/>
      <c r="DE259" s="137"/>
      <c r="DF259" s="138"/>
      <c r="DG259" s="138"/>
      <c r="DH259" s="138"/>
      <c r="DI259" s="138"/>
      <c r="DJ259" s="43"/>
      <c r="DK259" s="43">
        <v>0.35</v>
      </c>
    </row>
    <row r="260" spans="24:137" s="31" customFormat="1" ht="15.75" thickBot="1">
      <c r="X260" s="114"/>
      <c r="AB260" s="115"/>
      <c r="AC260" s="30"/>
      <c r="AD260" s="71"/>
      <c r="AE260" s="71"/>
      <c r="AF260" s="30"/>
      <c r="AG260" s="71"/>
      <c r="AH260" s="73"/>
      <c r="AI260" s="30"/>
      <c r="AJ260" s="74"/>
      <c r="AK260" s="30"/>
      <c r="AL260" s="78"/>
      <c r="AM260" s="78"/>
      <c r="AN260" s="120" t="s">
        <v>583</v>
      </c>
      <c r="AO260" s="71">
        <v>1</v>
      </c>
      <c r="AP260" s="30">
        <v>0.8</v>
      </c>
      <c r="AQ260" s="30">
        <v>1</v>
      </c>
      <c r="AR260" s="74">
        <v>1</v>
      </c>
      <c r="AS260" s="121">
        <f t="shared" si="314"/>
        <v>2.9333333333333336</v>
      </c>
      <c r="AT260" s="30"/>
      <c r="AU260" s="30"/>
      <c r="AV260" s="30"/>
      <c r="AW260" s="71"/>
      <c r="AX260" s="30"/>
      <c r="AY260" s="120" t="s">
        <v>584</v>
      </c>
      <c r="AZ260" s="124">
        <v>0.24</v>
      </c>
      <c r="BA260" s="127">
        <v>0.24</v>
      </c>
      <c r="BB260" s="119">
        <f t="shared" si="321"/>
        <v>7.9999999999999988E-2</v>
      </c>
      <c r="BC260" s="119">
        <f t="shared" si="322"/>
        <v>3.9999999999999994E-2</v>
      </c>
      <c r="BD260" s="119">
        <f t="shared" si="323"/>
        <v>5.7600000000000005E-2</v>
      </c>
      <c r="BE260" s="30"/>
      <c r="BF260" s="120" t="s">
        <v>584</v>
      </c>
      <c r="BG260" s="124">
        <v>0.24</v>
      </c>
      <c r="BH260" s="127">
        <v>0.24</v>
      </c>
      <c r="BI260" s="119">
        <f t="shared" si="324"/>
        <v>7.9999999999999988E-2</v>
      </c>
      <c r="BJ260" s="119">
        <f t="shared" si="325"/>
        <v>3.9999999999999994E-2</v>
      </c>
      <c r="BK260" s="119">
        <f t="shared" si="326"/>
        <v>5.7600000000000005E-2</v>
      </c>
      <c r="BL260" s="119">
        <f t="shared" si="327"/>
        <v>2.8800000000000003E-2</v>
      </c>
      <c r="BM260" s="119">
        <f t="shared" si="328"/>
        <v>4.3199999999999995E-2</v>
      </c>
      <c r="BN260" s="122">
        <f t="shared" si="315"/>
        <v>0.11039999999999998</v>
      </c>
      <c r="BO260" s="134">
        <f t="shared" si="316"/>
        <v>9.0719999999999995E-2</v>
      </c>
      <c r="BP260" s="134">
        <f t="shared" si="317"/>
        <v>8.0436321259601193E-2</v>
      </c>
      <c r="BQ260" s="130">
        <f t="shared" si="318"/>
        <v>1.1023232109925347</v>
      </c>
      <c r="BR260" s="30"/>
      <c r="BS260" s="117"/>
      <c r="BT260" s="119">
        <f t="shared" si="329"/>
        <v>9.6523585511521428E-3</v>
      </c>
      <c r="BU260" s="119">
        <f t="shared" si="330"/>
        <v>1.4478537826728215E-2</v>
      </c>
      <c r="BV260" s="122">
        <f t="shared" si="319"/>
        <v>0.39747063026776264</v>
      </c>
      <c r="BW260" s="134">
        <f t="shared" si="320"/>
        <v>0.37548470245680504</v>
      </c>
      <c r="BX260" s="130" t="e">
        <f>1-((BW260-((#REF!*2.78)/(SQRT(5))))/BW260)</f>
        <v>#REF!</v>
      </c>
      <c r="BY260" s="30"/>
      <c r="BZ260" s="117"/>
      <c r="CA260" s="117"/>
      <c r="CB260" s="30"/>
      <c r="CC260" s="110"/>
      <c r="CD260" s="111" t="s">
        <v>585</v>
      </c>
      <c r="CE260" s="92" t="s">
        <v>573</v>
      </c>
      <c r="CF260" s="135">
        <f>BM256</f>
        <v>2.83986E-2</v>
      </c>
      <c r="CG260" s="92" t="s">
        <v>574</v>
      </c>
      <c r="CH260" s="98">
        <v>0.05</v>
      </c>
      <c r="CI260" s="98">
        <v>0.3</v>
      </c>
      <c r="CJ260" s="97" t="s">
        <v>494</v>
      </c>
      <c r="CK260" s="137"/>
      <c r="CN260" s="137"/>
      <c r="CO260" s="137"/>
      <c r="CP260" s="137"/>
      <c r="CQ260" s="138"/>
      <c r="CR260" s="137"/>
      <c r="CS260" s="95"/>
      <c r="CT260" s="140"/>
      <c r="CU260" s="138"/>
      <c r="CV260" s="138"/>
      <c r="CW260" s="138"/>
      <c r="CX260" s="137"/>
      <c r="CY260" s="137"/>
      <c r="CZ260" s="138"/>
      <c r="DA260" s="138"/>
      <c r="DB260" s="138"/>
      <c r="DC260" s="138"/>
      <c r="DD260" s="137"/>
      <c r="DE260" s="137"/>
      <c r="DF260" s="138"/>
      <c r="DG260" s="138"/>
      <c r="DH260" s="138"/>
      <c r="DI260" s="138"/>
      <c r="DJ260" s="43"/>
      <c r="DK260" s="43">
        <v>0.35</v>
      </c>
    </row>
    <row r="261" spans="24:137" s="31" customFormat="1" ht="15.75" thickBot="1">
      <c r="X261" s="114"/>
      <c r="AB261" s="115"/>
      <c r="AC261" s="30"/>
      <c r="AD261" s="71"/>
      <c r="AE261" s="71"/>
      <c r="AF261" s="30"/>
      <c r="AG261" s="71"/>
      <c r="AH261" s="73"/>
      <c r="AI261" s="30"/>
      <c r="AJ261" s="74"/>
      <c r="AK261" s="30"/>
      <c r="AL261" s="78"/>
      <c r="AM261" s="78"/>
      <c r="AN261" s="120" t="s">
        <v>586</v>
      </c>
      <c r="AO261" s="71">
        <f>AO256</f>
        <v>0.68713000000000002</v>
      </c>
      <c r="AP261" s="71">
        <f t="shared" ref="AP261:AQ261" si="331">AP256</f>
        <v>0.37186000000000008</v>
      </c>
      <c r="AQ261" s="71">
        <f t="shared" si="331"/>
        <v>0.12931000000000001</v>
      </c>
      <c r="AR261" s="74">
        <v>0.57999999999999996</v>
      </c>
      <c r="AS261" s="121">
        <f t="shared" si="314"/>
        <v>7.0266757116481365E-2</v>
      </c>
      <c r="AT261" s="30"/>
      <c r="AU261" s="30"/>
      <c r="AV261" s="30"/>
      <c r="AW261" s="71"/>
      <c r="AX261" s="30"/>
      <c r="AY261" s="120" t="s">
        <v>587</v>
      </c>
      <c r="AZ261" s="124">
        <v>0.43</v>
      </c>
      <c r="BA261" s="127">
        <v>0.43</v>
      </c>
      <c r="BB261" s="119">
        <f t="shared" si="321"/>
        <v>0.14333333333333331</v>
      </c>
      <c r="BC261" s="119">
        <f t="shared" si="322"/>
        <v>7.1666666666666656E-2</v>
      </c>
      <c r="BD261" s="119">
        <f t="shared" si="323"/>
        <v>0.1032</v>
      </c>
      <c r="BE261" s="30"/>
      <c r="BF261" s="120" t="s">
        <v>587</v>
      </c>
      <c r="BG261" s="124">
        <v>0.43</v>
      </c>
      <c r="BH261" s="127">
        <v>0.43</v>
      </c>
      <c r="BI261" s="119">
        <f t="shared" si="324"/>
        <v>0.14333333333333331</v>
      </c>
      <c r="BJ261" s="119">
        <f t="shared" si="325"/>
        <v>7.1666666666666656E-2</v>
      </c>
      <c r="BK261" s="119">
        <f t="shared" si="326"/>
        <v>0.1032</v>
      </c>
      <c r="BL261" s="119">
        <f t="shared" si="327"/>
        <v>5.16E-2</v>
      </c>
      <c r="BM261" s="119">
        <f t="shared" si="328"/>
        <v>7.7399999999999997E-2</v>
      </c>
      <c r="BN261" s="122">
        <f t="shared" si="315"/>
        <v>0.1978</v>
      </c>
      <c r="BO261" s="134">
        <f t="shared" si="316"/>
        <v>0.16253999999999996</v>
      </c>
      <c r="BP261" s="134">
        <f t="shared" si="317"/>
        <v>0.14411507559011888</v>
      </c>
      <c r="BQ261" s="130">
        <f t="shared" si="318"/>
        <v>1.1023232109925354</v>
      </c>
      <c r="BR261" s="30"/>
      <c r="BS261" s="117"/>
      <c r="BT261" s="119">
        <f t="shared" si="329"/>
        <v>1.7293809070814268E-2</v>
      </c>
      <c r="BU261" s="119">
        <f t="shared" si="330"/>
        <v>2.5940713606221397E-2</v>
      </c>
      <c r="BV261" s="122">
        <f t="shared" si="319"/>
        <v>0.4212440318844895</v>
      </c>
      <c r="BW261" s="134">
        <f t="shared" si="320"/>
        <v>0.38185257788985699</v>
      </c>
      <c r="BX261" s="130" t="e">
        <f>1-((BW261-((#REF!*2.78)/(SQRT(5))))/BW261)</f>
        <v>#REF!</v>
      </c>
      <c r="BY261" s="30"/>
      <c r="BZ261" s="117"/>
      <c r="CA261" s="117"/>
      <c r="CB261" s="30"/>
      <c r="CC261" s="110"/>
      <c r="CD261" s="111" t="s">
        <v>588</v>
      </c>
      <c r="CE261" s="92" t="s">
        <v>573</v>
      </c>
      <c r="CF261" s="135">
        <f>BB257</f>
        <v>1.6666666666666666E-2</v>
      </c>
      <c r="CG261" s="92" t="s">
        <v>574</v>
      </c>
      <c r="CH261" s="98">
        <v>0.05</v>
      </c>
      <c r="CI261" s="98">
        <v>0.3</v>
      </c>
      <c r="CJ261" s="97" t="s">
        <v>442</v>
      </c>
      <c r="CK261" s="137"/>
      <c r="CN261" s="137"/>
      <c r="CO261" s="137"/>
      <c r="CP261" s="137"/>
      <c r="CQ261" s="138"/>
      <c r="CR261" s="137"/>
      <c r="CS261" s="95"/>
      <c r="CT261" s="140"/>
      <c r="CU261" s="138"/>
      <c r="CV261" s="138"/>
      <c r="CW261" s="138"/>
      <c r="CX261" s="137"/>
      <c r="CY261" s="137"/>
      <c r="CZ261" s="138"/>
      <c r="DA261" s="138"/>
      <c r="DB261" s="138"/>
      <c r="DC261" s="138"/>
      <c r="DD261" s="137"/>
      <c r="DE261" s="137"/>
      <c r="DF261" s="138"/>
      <c r="DG261" s="138"/>
      <c r="DH261" s="138"/>
      <c r="DI261" s="138"/>
      <c r="DJ261" s="43"/>
      <c r="DK261" s="43">
        <v>0.35</v>
      </c>
    </row>
    <row r="262" spans="24:137" s="31" customFormat="1" ht="15.75" thickBot="1">
      <c r="X262" s="114"/>
      <c r="AB262" s="115"/>
      <c r="AC262" s="30"/>
      <c r="AD262" s="71"/>
      <c r="AE262" s="71"/>
      <c r="AF262" s="30"/>
      <c r="AG262" s="71"/>
      <c r="AH262" s="73"/>
      <c r="AI262" s="30"/>
      <c r="AJ262" s="74"/>
      <c r="AK262" s="30"/>
      <c r="AL262" s="78"/>
      <c r="AM262" s="78"/>
      <c r="AN262" s="120"/>
      <c r="AO262" s="71"/>
      <c r="AP262" s="30"/>
      <c r="AQ262" s="30"/>
      <c r="AR262" s="74"/>
      <c r="AS262" s="30"/>
      <c r="AT262" s="30"/>
      <c r="AU262" s="30"/>
      <c r="AV262" s="30"/>
      <c r="AW262" s="71"/>
      <c r="AX262" s="30"/>
      <c r="AY262" s="120" t="s">
        <v>589</v>
      </c>
      <c r="AZ262" s="124">
        <v>0.12</v>
      </c>
      <c r="BA262" s="127">
        <v>0.12</v>
      </c>
      <c r="BB262" s="119">
        <f t="shared" si="321"/>
        <v>3.9999999999999994E-2</v>
      </c>
      <c r="BC262" s="119">
        <f t="shared" si="322"/>
        <v>1.9999999999999997E-2</v>
      </c>
      <c r="BD262" s="119">
        <f t="shared" si="323"/>
        <v>2.8800000000000003E-2</v>
      </c>
      <c r="BE262" s="30"/>
      <c r="BF262" s="120" t="s">
        <v>589</v>
      </c>
      <c r="BG262" s="124">
        <v>0.12</v>
      </c>
      <c r="BH262" s="127">
        <v>0.12</v>
      </c>
      <c r="BI262" s="119">
        <f t="shared" si="324"/>
        <v>3.9999999999999994E-2</v>
      </c>
      <c r="BJ262" s="119">
        <f t="shared" si="325"/>
        <v>1.9999999999999997E-2</v>
      </c>
      <c r="BK262" s="119">
        <f t="shared" si="326"/>
        <v>2.8800000000000003E-2</v>
      </c>
      <c r="BL262" s="119">
        <f t="shared" si="327"/>
        <v>1.4400000000000001E-2</v>
      </c>
      <c r="BM262" s="119">
        <f t="shared" si="328"/>
        <v>2.1599999999999998E-2</v>
      </c>
      <c r="BN262" s="122">
        <f t="shared" si="315"/>
        <v>5.5199999999999992E-2</v>
      </c>
      <c r="BO262" s="134">
        <f t="shared" si="316"/>
        <v>4.5359999999999998E-2</v>
      </c>
      <c r="BP262" s="134">
        <f t="shared" si="317"/>
        <v>4.0218160629800596E-2</v>
      </c>
      <c r="BQ262" s="130">
        <f t="shared" si="318"/>
        <v>1.1023232109925347</v>
      </c>
      <c r="BR262" s="30"/>
      <c r="BS262" s="117"/>
      <c r="BT262" s="119">
        <f t="shared" si="329"/>
        <v>4.8261792755760714E-3</v>
      </c>
      <c r="BU262" s="119">
        <f t="shared" si="330"/>
        <v>7.2392689133641075E-3</v>
      </c>
      <c r="BV262" s="122">
        <f t="shared" si="319"/>
        <v>0.38245585029930385</v>
      </c>
      <c r="BW262" s="134">
        <f t="shared" si="320"/>
        <v>0.37146288639382496</v>
      </c>
      <c r="BX262" s="130" t="e">
        <f>1-((BW262-((#REF!*2.78)/(SQRT(5))))/BW262)</f>
        <v>#REF!</v>
      </c>
      <c r="BY262" s="30"/>
      <c r="BZ262" s="117"/>
      <c r="CA262" s="117"/>
      <c r="CB262" s="30"/>
      <c r="CC262" s="110"/>
      <c r="CD262" s="111" t="s">
        <v>590</v>
      </c>
      <c r="CE262" s="92" t="s">
        <v>573</v>
      </c>
      <c r="CF262" s="135">
        <f>BB258</f>
        <v>4.9999999999999996E-2</v>
      </c>
      <c r="CG262" s="92" t="s">
        <v>574</v>
      </c>
      <c r="CH262" s="98">
        <v>0.05</v>
      </c>
      <c r="CI262" s="98">
        <v>0.3</v>
      </c>
      <c r="CJ262" s="97" t="s">
        <v>442</v>
      </c>
      <c r="CK262" s="137"/>
      <c r="CN262" s="137"/>
      <c r="CO262" s="137"/>
      <c r="CP262" s="137"/>
      <c r="CQ262" s="138"/>
      <c r="CR262" s="137"/>
      <c r="CS262" s="95"/>
      <c r="CT262" s="140"/>
      <c r="CU262" s="138"/>
      <c r="CV262" s="138"/>
      <c r="CW262" s="138"/>
      <c r="CX262" s="137"/>
      <c r="CY262" s="137"/>
      <c r="CZ262" s="138"/>
      <c r="DA262" s="138"/>
      <c r="DB262" s="138"/>
      <c r="DC262" s="138"/>
      <c r="DD262" s="137"/>
      <c r="DE262" s="137"/>
      <c r="DF262" s="138"/>
      <c r="DG262" s="138"/>
      <c r="DH262" s="138"/>
      <c r="DI262" s="138"/>
      <c r="DJ262" s="43"/>
      <c r="DK262" s="43">
        <v>0.35</v>
      </c>
    </row>
    <row r="263" spans="24:137" s="31" customFormat="1" ht="15.75" thickBot="1">
      <c r="X263" s="114"/>
      <c r="AB263" s="115"/>
      <c r="AC263" s="30"/>
      <c r="AD263" s="71"/>
      <c r="AE263" s="71"/>
      <c r="AF263" s="30"/>
      <c r="AG263" s="71"/>
      <c r="AH263" s="73"/>
      <c r="AI263" s="30"/>
      <c r="AJ263" s="74"/>
      <c r="AK263" s="30"/>
      <c r="AL263" s="78"/>
      <c r="AM263" s="78"/>
      <c r="AN263" s="120"/>
      <c r="AO263" s="71"/>
      <c r="AP263" s="30"/>
      <c r="AQ263" s="30"/>
      <c r="AR263" s="74"/>
      <c r="AS263" s="30"/>
      <c r="AT263" s="30"/>
      <c r="AU263" s="30"/>
      <c r="AV263" s="30"/>
      <c r="AW263" s="71"/>
      <c r="AX263" s="30"/>
      <c r="AY263" s="120" t="s">
        <v>591</v>
      </c>
      <c r="AZ263" s="124">
        <v>0.39</v>
      </c>
      <c r="BA263" s="127">
        <v>0.39</v>
      </c>
      <c r="BB263" s="119">
        <f t="shared" si="321"/>
        <v>0.13</v>
      </c>
      <c r="BC263" s="119">
        <f t="shared" si="322"/>
        <v>6.5000000000000002E-2</v>
      </c>
      <c r="BD263" s="119">
        <f t="shared" si="323"/>
        <v>9.3600000000000017E-2</v>
      </c>
      <c r="BE263" s="30"/>
      <c r="BF263" s="120" t="s">
        <v>591</v>
      </c>
      <c r="BG263" s="124">
        <v>0.39</v>
      </c>
      <c r="BH263" s="127">
        <v>0.39</v>
      </c>
      <c r="BI263" s="119">
        <f t="shared" si="324"/>
        <v>0.13</v>
      </c>
      <c r="BJ263" s="119">
        <f t="shared" si="325"/>
        <v>6.5000000000000002E-2</v>
      </c>
      <c r="BK263" s="119">
        <f t="shared" si="326"/>
        <v>9.3600000000000017E-2</v>
      </c>
      <c r="BL263" s="119">
        <f t="shared" si="327"/>
        <v>4.6800000000000008E-2</v>
      </c>
      <c r="BM263" s="119">
        <f t="shared" si="328"/>
        <v>7.0199999999999985E-2</v>
      </c>
      <c r="BN263" s="122">
        <f t="shared" si="315"/>
        <v>0.17939999999999998</v>
      </c>
      <c r="BO263" s="134">
        <f t="shared" si="316"/>
        <v>0.14741999999999997</v>
      </c>
      <c r="BP263" s="134">
        <f t="shared" si="317"/>
        <v>0.13070902204685206</v>
      </c>
      <c r="BQ263" s="130">
        <f t="shared" si="318"/>
        <v>1.1023232109925361</v>
      </c>
      <c r="BR263" s="30"/>
      <c r="BS263" s="116"/>
      <c r="BT263" s="119">
        <f t="shared" si="329"/>
        <v>1.5685082645622246E-2</v>
      </c>
      <c r="BU263" s="119">
        <f t="shared" si="330"/>
        <v>2.3527623968433369E-2</v>
      </c>
      <c r="BV263" s="122">
        <f t="shared" si="319"/>
        <v>0.41623910522833679</v>
      </c>
      <c r="BW263" s="134">
        <f t="shared" si="320"/>
        <v>0.3805119725355306</v>
      </c>
      <c r="BX263" s="130" t="e">
        <f>1-((BW263-((#REF!*2.78)/(SQRT(5))))/BW263)</f>
        <v>#REF!</v>
      </c>
      <c r="BY263" s="30"/>
      <c r="BZ263" s="116"/>
      <c r="CA263" s="30"/>
      <c r="CB263" s="30"/>
      <c r="CC263" s="110"/>
      <c r="CD263" s="111" t="s">
        <v>592</v>
      </c>
      <c r="CE263" s="92" t="s">
        <v>573</v>
      </c>
      <c r="CF263" s="135">
        <f>BB258</f>
        <v>4.9999999999999996E-2</v>
      </c>
      <c r="CG263" s="92" t="s">
        <v>574</v>
      </c>
      <c r="CH263" s="98">
        <v>0.05</v>
      </c>
      <c r="CI263" s="98">
        <v>0.3</v>
      </c>
      <c r="CJ263" s="97" t="s">
        <v>494</v>
      </c>
      <c r="CK263" s="137"/>
      <c r="CN263" s="137"/>
      <c r="CO263" s="137"/>
      <c r="CP263" s="137"/>
      <c r="CQ263" s="138"/>
      <c r="CR263" s="137"/>
      <c r="CS263" s="95"/>
      <c r="CT263" s="140"/>
      <c r="CU263" s="138"/>
      <c r="CV263" s="138"/>
      <c r="CW263" s="138"/>
      <c r="CX263" s="137"/>
      <c r="CY263" s="137"/>
      <c r="CZ263" s="138"/>
      <c r="DA263" s="138"/>
      <c r="DB263" s="138"/>
      <c r="DC263" s="138"/>
      <c r="DD263" s="137"/>
      <c r="DE263" s="137"/>
      <c r="DF263" s="138"/>
      <c r="DG263" s="138"/>
      <c r="DH263" s="138"/>
      <c r="DI263" s="138"/>
      <c r="DJ263" s="43"/>
      <c r="DK263" s="43">
        <v>0.35</v>
      </c>
    </row>
    <row r="264" spans="24:137" s="31" customFormat="1" ht="15.75" thickBot="1">
      <c r="X264" s="114"/>
      <c r="AB264" s="115"/>
      <c r="AC264" s="30"/>
      <c r="AD264" s="71"/>
      <c r="AE264" s="71"/>
      <c r="AF264" s="30"/>
      <c r="AG264" s="71"/>
      <c r="AH264" s="73"/>
      <c r="AI264" s="30"/>
      <c r="AJ264" s="74"/>
      <c r="AK264" s="30"/>
      <c r="AL264" s="78"/>
      <c r="AM264" s="78"/>
      <c r="AN264" s="120"/>
      <c r="AO264" s="71"/>
      <c r="AP264" s="30"/>
      <c r="AQ264" s="30"/>
      <c r="AR264" s="74"/>
      <c r="AS264" s="30"/>
      <c r="AT264" s="30"/>
      <c r="AU264" s="30"/>
      <c r="AV264" s="30"/>
      <c r="AW264" s="71"/>
      <c r="AX264" s="30"/>
      <c r="AY264" s="120" t="s">
        <v>593</v>
      </c>
      <c r="AZ264" s="124">
        <v>0.04</v>
      </c>
      <c r="BA264" s="127">
        <v>0.04</v>
      </c>
      <c r="BB264" s="119">
        <f t="shared" si="321"/>
        <v>1.3333333333333332E-2</v>
      </c>
      <c r="BC264" s="119">
        <f t="shared" si="322"/>
        <v>6.6666666666666662E-3</v>
      </c>
      <c r="BD264" s="119">
        <f t="shared" si="323"/>
        <v>9.5999999999999992E-3</v>
      </c>
      <c r="BE264" s="30"/>
      <c r="BF264" s="120" t="s">
        <v>593</v>
      </c>
      <c r="BG264" s="124">
        <v>0.04</v>
      </c>
      <c r="BH264" s="127">
        <v>0.04</v>
      </c>
      <c r="BI264" s="119">
        <f t="shared" si="324"/>
        <v>1.3333333333333332E-2</v>
      </c>
      <c r="BJ264" s="119">
        <f t="shared" si="325"/>
        <v>6.6666666666666662E-3</v>
      </c>
      <c r="BK264" s="119">
        <f t="shared" si="326"/>
        <v>9.5999999999999992E-3</v>
      </c>
      <c r="BL264" s="119">
        <f t="shared" si="327"/>
        <v>4.7999999999999996E-3</v>
      </c>
      <c r="BM264" s="119">
        <f t="shared" si="328"/>
        <v>7.2000000000000007E-3</v>
      </c>
      <c r="BN264" s="122">
        <f t="shared" si="315"/>
        <v>1.84E-2</v>
      </c>
      <c r="BO264" s="134">
        <f t="shared" si="316"/>
        <v>1.512E-2</v>
      </c>
      <c r="BP264" s="134">
        <f t="shared" si="317"/>
        <v>1.3406053543266874E-2</v>
      </c>
      <c r="BQ264" s="130">
        <f t="shared" si="318"/>
        <v>1.1023232109925352</v>
      </c>
      <c r="BR264" s="30"/>
      <c r="BS264" s="71"/>
      <c r="BT264" s="119">
        <f t="shared" si="329"/>
        <v>1.608726425192025E-3</v>
      </c>
      <c r="BU264" s="119">
        <f t="shared" si="330"/>
        <v>2.413089637788037E-3</v>
      </c>
      <c r="BV264" s="122">
        <f t="shared" si="319"/>
        <v>0.37244599698699804</v>
      </c>
      <c r="BW264" s="134">
        <f t="shared" si="320"/>
        <v>0.36878167568517178</v>
      </c>
      <c r="BX264" s="130" t="e">
        <f>1-((BW264-((#REF!*2.78)/(SQRT(5))))/BW264)</f>
        <v>#REF!</v>
      </c>
      <c r="BY264" s="30"/>
      <c r="BZ264" s="71"/>
      <c r="CA264" s="30"/>
      <c r="CB264" s="30"/>
      <c r="CC264" s="110"/>
      <c r="CD264" s="111" t="s">
        <v>594</v>
      </c>
      <c r="CE264" s="92" t="s">
        <v>573</v>
      </c>
      <c r="CF264" s="135">
        <f t="shared" ref="CF264:CF269" si="332">BB260</f>
        <v>7.9999999999999988E-2</v>
      </c>
      <c r="CG264" s="92" t="s">
        <v>574</v>
      </c>
      <c r="CH264" s="98">
        <v>0.05</v>
      </c>
      <c r="CI264" s="98">
        <v>0.3</v>
      </c>
      <c r="CJ264" s="97" t="s">
        <v>442</v>
      </c>
      <c r="CK264" s="137"/>
      <c r="CN264" s="137"/>
      <c r="CO264" s="137"/>
      <c r="CP264" s="137"/>
      <c r="CQ264" s="138"/>
      <c r="CR264" s="137"/>
      <c r="CS264" s="95"/>
      <c r="CT264" s="140"/>
      <c r="CU264" s="138"/>
      <c r="CV264" s="138"/>
      <c r="CW264" s="138"/>
      <c r="CX264" s="137"/>
      <c r="CY264" s="137"/>
      <c r="CZ264" s="138"/>
      <c r="DA264" s="138"/>
      <c r="DB264" s="138"/>
      <c r="DC264" s="138"/>
      <c r="DD264" s="137"/>
      <c r="DE264" s="137"/>
      <c r="DF264" s="138"/>
      <c r="DG264" s="138"/>
      <c r="DH264" s="138"/>
      <c r="DI264" s="138"/>
      <c r="DJ264" s="43"/>
      <c r="DK264" s="43">
        <v>0.35</v>
      </c>
    </row>
    <row r="265" spans="24:137" s="31" customFormat="1" ht="15.75" thickBot="1">
      <c r="X265" s="114"/>
      <c r="AB265" s="115"/>
      <c r="AC265" s="30"/>
      <c r="AD265" s="71"/>
      <c r="AE265" s="71"/>
      <c r="AF265" s="30"/>
      <c r="AG265" s="71"/>
      <c r="AH265" s="73"/>
      <c r="AI265" s="30"/>
      <c r="AJ265" s="74"/>
      <c r="AK265" s="30"/>
      <c r="AL265" s="78"/>
      <c r="AM265" s="78"/>
      <c r="AN265" s="120"/>
      <c r="AO265" s="71"/>
      <c r="AP265" s="30"/>
      <c r="AQ265" s="30"/>
      <c r="AR265" s="74"/>
      <c r="AS265" s="30"/>
      <c r="AT265" s="30"/>
      <c r="AU265" s="30"/>
      <c r="AV265" s="30"/>
      <c r="AW265" s="71"/>
      <c r="AX265" s="30"/>
      <c r="AY265" s="120" t="s">
        <v>595</v>
      </c>
      <c r="AZ265" s="124">
        <v>0.01</v>
      </c>
      <c r="BA265" s="127">
        <v>0.01</v>
      </c>
      <c r="BB265" s="119">
        <f t="shared" si="321"/>
        <v>3.3333333333333331E-3</v>
      </c>
      <c r="BC265" s="119">
        <f t="shared" si="322"/>
        <v>1.6666666666666666E-3</v>
      </c>
      <c r="BD265" s="119">
        <f t="shared" si="323"/>
        <v>2.3999999999999998E-3</v>
      </c>
      <c r="BE265" s="30"/>
      <c r="BF265" s="120" t="s">
        <v>595</v>
      </c>
      <c r="BG265" s="124">
        <v>0.01</v>
      </c>
      <c r="BH265" s="127">
        <v>0.01</v>
      </c>
      <c r="BI265" s="119">
        <f t="shared" si="324"/>
        <v>3.3333333333333331E-3</v>
      </c>
      <c r="BJ265" s="119">
        <f t="shared" si="325"/>
        <v>1.6666666666666666E-3</v>
      </c>
      <c r="BK265" s="119">
        <f t="shared" si="326"/>
        <v>2.3999999999999998E-3</v>
      </c>
      <c r="BL265" s="119">
        <f t="shared" si="327"/>
        <v>1.1999999999999999E-3</v>
      </c>
      <c r="BM265" s="119">
        <f t="shared" si="328"/>
        <v>1.8000000000000002E-3</v>
      </c>
      <c r="BN265" s="122">
        <f t="shared" si="315"/>
        <v>4.5999999999999999E-3</v>
      </c>
      <c r="BO265" s="134">
        <f t="shared" si="316"/>
        <v>3.7799999999999999E-3</v>
      </c>
      <c r="BP265" s="134">
        <f t="shared" si="317"/>
        <v>3.3515133858167184E-3</v>
      </c>
      <c r="BQ265" s="130">
        <f t="shared" si="318"/>
        <v>1.1023232109925352</v>
      </c>
      <c r="BR265" s="30"/>
      <c r="BS265" s="71"/>
      <c r="BT265" s="119">
        <f t="shared" si="329"/>
        <v>4.0218160629800626E-4</v>
      </c>
      <c r="BU265" s="119">
        <f t="shared" si="330"/>
        <v>6.0327240944700925E-4</v>
      </c>
      <c r="BV265" s="122">
        <f t="shared" si="319"/>
        <v>0.36869230199488329</v>
      </c>
      <c r="BW265" s="134">
        <f t="shared" si="320"/>
        <v>0.3677762216694267</v>
      </c>
      <c r="BX265" s="130" t="e">
        <f>1-((BW265-((#REF!*2.78)/(SQRT(5))))/BW265)</f>
        <v>#REF!</v>
      </c>
      <c r="BY265" s="30"/>
      <c r="BZ265" s="71"/>
      <c r="CA265" s="30"/>
      <c r="CB265" s="30"/>
      <c r="CC265" s="110"/>
      <c r="CD265" s="111" t="s">
        <v>596</v>
      </c>
      <c r="CE265" s="92" t="s">
        <v>573</v>
      </c>
      <c r="CF265" s="135">
        <f t="shared" si="332"/>
        <v>0.14333333333333331</v>
      </c>
      <c r="CG265" s="92" t="s">
        <v>574</v>
      </c>
      <c r="CH265" s="98">
        <v>0.05</v>
      </c>
      <c r="CI265" s="98">
        <v>0.3</v>
      </c>
      <c r="CJ265" s="97" t="s">
        <v>442</v>
      </c>
      <c r="CK265" s="137"/>
      <c r="CN265" s="137"/>
      <c r="CO265" s="137"/>
      <c r="CP265" s="137"/>
      <c r="CQ265" s="138"/>
      <c r="CR265" s="137"/>
      <c r="CS265" s="95"/>
      <c r="CT265" s="140"/>
      <c r="CU265" s="138"/>
      <c r="CV265" s="138"/>
      <c r="CW265" s="138"/>
      <c r="CX265" s="137"/>
      <c r="CY265" s="137"/>
      <c r="CZ265" s="138"/>
      <c r="DA265" s="138"/>
      <c r="DB265" s="138"/>
      <c r="DC265" s="138"/>
      <c r="DD265" s="137"/>
      <c r="DE265" s="137"/>
      <c r="DF265" s="138"/>
      <c r="DG265" s="138"/>
      <c r="DH265" s="138"/>
      <c r="DI265" s="138"/>
      <c r="DJ265" s="43"/>
      <c r="DK265" s="43">
        <v>0.35</v>
      </c>
    </row>
    <row r="266" spans="24:137" s="31" customFormat="1" ht="15.75" thickBot="1">
      <c r="X266" s="114"/>
      <c r="AB266" s="115"/>
      <c r="AC266" s="30"/>
      <c r="AD266" s="71"/>
      <c r="AE266" s="71"/>
      <c r="AF266" s="30"/>
      <c r="AG266" s="71"/>
      <c r="AH266" s="73"/>
      <c r="AI266" s="30"/>
      <c r="AJ266" s="74"/>
      <c r="AK266" s="30"/>
      <c r="AL266" s="78"/>
      <c r="AM266" s="78"/>
      <c r="AN266" s="30"/>
      <c r="AO266" s="71"/>
      <c r="AP266" s="30"/>
      <c r="AQ266" s="30"/>
      <c r="AR266" s="74"/>
      <c r="AS266" s="30"/>
      <c r="AT266" s="30"/>
      <c r="AU266" s="30"/>
      <c r="AV266" s="30"/>
      <c r="AW266" s="71"/>
      <c r="AX266" s="30"/>
      <c r="AZ266" s="122" t="s">
        <v>563</v>
      </c>
      <c r="BA266" s="125" t="s">
        <v>563</v>
      </c>
      <c r="BB266" s="128">
        <f>AVERAGE(BB256:BB265)</f>
        <v>6.4925666666666659E-2</v>
      </c>
      <c r="BC266" s="128">
        <f>AVERAGE(BC256:BC265)</f>
        <v>3.246283333333333E-2</v>
      </c>
      <c r="BD266" s="128">
        <f>AVERAGE(BD256:BD265)</f>
        <v>4.674648E-2</v>
      </c>
      <c r="BE266" s="30"/>
      <c r="BG266" s="122" t="s">
        <v>563</v>
      </c>
      <c r="BH266" s="125" t="s">
        <v>563</v>
      </c>
      <c r="BI266" s="128">
        <f>AVERAGE(BI256:BI265)</f>
        <v>6.4925666666666659E-2</v>
      </c>
      <c r="BJ266" s="128">
        <f>AVERAGE(BJ256:BJ265)</f>
        <v>3.246283333333333E-2</v>
      </c>
      <c r="BK266" s="128">
        <f>AVERAGE(BK256:BK265)</f>
        <v>4.674648E-2</v>
      </c>
      <c r="BL266" s="128">
        <f>AVERAGE(BL256:BL265)</f>
        <v>2.337324E-2</v>
      </c>
      <c r="BM266" s="128">
        <f>AVERAGE(BM256:BM265)</f>
        <v>3.5059859999999998E-2</v>
      </c>
      <c r="BN266" s="74"/>
      <c r="BO266" s="30"/>
      <c r="BP266" s="71"/>
      <c r="BQ266" s="71"/>
      <c r="BR266" s="30"/>
      <c r="BS266" s="71"/>
      <c r="BT266" s="128">
        <f>AVERAGE(BT256:BT265)</f>
        <v>9.1782107527343098E-3</v>
      </c>
      <c r="BU266" s="128">
        <f>AVERAGE(BU256:BU265)</f>
        <v>1.3767316129101464E-2</v>
      </c>
      <c r="BV266" s="74"/>
      <c r="BW266" s="30"/>
      <c r="BX266" s="71"/>
      <c r="BY266" s="30"/>
      <c r="BZ266" s="71"/>
      <c r="CA266" s="30"/>
      <c r="CB266" s="30"/>
      <c r="CC266" s="110"/>
      <c r="CD266" s="111" t="s">
        <v>597</v>
      </c>
      <c r="CE266" s="92" t="s">
        <v>573</v>
      </c>
      <c r="CF266" s="135">
        <f t="shared" si="332"/>
        <v>3.9999999999999994E-2</v>
      </c>
      <c r="CG266" s="92" t="s">
        <v>574</v>
      </c>
      <c r="CH266" s="98">
        <v>0.05</v>
      </c>
      <c r="CI266" s="98">
        <v>0.3</v>
      </c>
      <c r="CJ266" s="97" t="s">
        <v>494</v>
      </c>
      <c r="CK266" s="137"/>
      <c r="CN266" s="137"/>
      <c r="CO266" s="137"/>
      <c r="CP266" s="137"/>
      <c r="CQ266" s="138"/>
      <c r="CR266" s="137"/>
      <c r="CS266" s="95"/>
      <c r="CT266" s="140"/>
      <c r="CU266" s="138"/>
      <c r="CV266" s="138"/>
      <c r="CW266" s="138"/>
      <c r="CX266" s="137"/>
      <c r="CY266" s="137"/>
      <c r="CZ266" s="138"/>
      <c r="DA266" s="138"/>
      <c r="DB266" s="138"/>
      <c r="DC266" s="138"/>
      <c r="DD266" s="137"/>
      <c r="DE266" s="137"/>
      <c r="DF266" s="138"/>
      <c r="DG266" s="138"/>
      <c r="DH266" s="138"/>
      <c r="DI266" s="138"/>
      <c r="DJ266" s="43"/>
      <c r="DK266" s="43">
        <v>0.35</v>
      </c>
    </row>
    <row r="267" spans="24:137" s="31" customFormat="1" ht="15.75" thickBot="1">
      <c r="X267" s="114"/>
      <c r="AB267" s="115"/>
      <c r="AC267" s="30"/>
      <c r="AD267" s="71"/>
      <c r="AE267" s="71"/>
      <c r="AF267" s="30"/>
      <c r="AG267" s="71"/>
      <c r="AH267" s="73"/>
      <c r="AI267" s="30"/>
      <c r="AJ267" s="74"/>
      <c r="AK267" s="30"/>
      <c r="AL267" s="78"/>
      <c r="AM267" s="78"/>
      <c r="AN267" s="30"/>
      <c r="AO267" s="71"/>
      <c r="AP267" s="30"/>
      <c r="AQ267" s="30"/>
      <c r="AR267" s="74"/>
      <c r="AS267" s="30"/>
      <c r="AT267" s="30"/>
      <c r="AU267" s="30"/>
      <c r="AV267" s="30"/>
      <c r="AW267" s="71"/>
      <c r="AX267" s="30"/>
      <c r="AZ267" s="122" t="s">
        <v>564</v>
      </c>
      <c r="BA267" s="125" t="s">
        <v>564</v>
      </c>
      <c r="BB267" s="125">
        <f>STDEV(BB256:BB265)</f>
        <v>5.1015680911744091E-2</v>
      </c>
      <c r="BC267" s="125">
        <f>STDEV(BC256:BC265)</f>
        <v>2.5507840455872045E-2</v>
      </c>
      <c r="BD267" s="125">
        <f>STDEV(BD256:BD265)</f>
        <v>3.6731290256455738E-2</v>
      </c>
      <c r="BE267" s="30"/>
      <c r="BG267" s="122" t="s">
        <v>564</v>
      </c>
      <c r="BH267" s="125" t="s">
        <v>564</v>
      </c>
      <c r="BI267" s="125">
        <f>STDEV(BI256:BI265)</f>
        <v>5.1015680911744091E-2</v>
      </c>
      <c r="BJ267" s="125">
        <f>STDEV(BJ256:BJ265)</f>
        <v>2.5507840455872045E-2</v>
      </c>
      <c r="BK267" s="125">
        <f>STDEV(BK256:BK265)</f>
        <v>3.6731290256455738E-2</v>
      </c>
      <c r="BL267" s="125">
        <f>STDEV(BL256:BL265)</f>
        <v>1.8365645128227869E-2</v>
      </c>
      <c r="BM267" s="125">
        <f>STDEV(BM256:BM265)</f>
        <v>2.7548467692341802E-2</v>
      </c>
      <c r="BN267" s="74"/>
      <c r="BO267" s="30"/>
      <c r="BP267" s="71"/>
      <c r="BQ267" s="71"/>
      <c r="BR267" s="30"/>
      <c r="BS267" s="71"/>
      <c r="BT267" s="125">
        <f>STDEV(BT256:BT265)</f>
        <v>7.1777813470022996E-3</v>
      </c>
      <c r="BU267" s="125">
        <f>STDEV(BU256:BU265)</f>
        <v>1.0766672020503449E-2</v>
      </c>
      <c r="BV267" s="74"/>
      <c r="BW267" s="30"/>
      <c r="BX267" s="71"/>
      <c r="BY267" s="30"/>
      <c r="BZ267" s="71"/>
      <c r="CA267" s="30"/>
      <c r="CB267" s="30"/>
      <c r="CC267" s="110"/>
      <c r="CD267" s="111" t="s">
        <v>598</v>
      </c>
      <c r="CE267" s="92" t="s">
        <v>573</v>
      </c>
      <c r="CF267" s="135">
        <f t="shared" si="332"/>
        <v>0.13</v>
      </c>
      <c r="CG267" s="92" t="s">
        <v>574</v>
      </c>
      <c r="CH267" s="98">
        <v>0.05</v>
      </c>
      <c r="CI267" s="98">
        <v>0.3</v>
      </c>
      <c r="CJ267" s="97" t="s">
        <v>442</v>
      </c>
      <c r="CK267" s="137"/>
      <c r="CN267" s="137"/>
      <c r="CO267" s="137"/>
      <c r="CP267" s="137"/>
      <c r="CQ267" s="138"/>
      <c r="CR267" s="137"/>
      <c r="CS267" s="95"/>
      <c r="CT267" s="140"/>
      <c r="CU267" s="138"/>
      <c r="CV267" s="138"/>
      <c r="CW267" s="138"/>
      <c r="CX267" s="137"/>
      <c r="CY267" s="137"/>
      <c r="CZ267" s="138"/>
      <c r="DA267" s="138"/>
      <c r="DB267" s="138"/>
      <c r="DC267" s="138"/>
      <c r="DD267" s="137"/>
      <c r="DE267" s="137"/>
      <c r="DF267" s="138"/>
      <c r="DG267" s="138"/>
      <c r="DH267" s="138"/>
      <c r="DI267" s="138"/>
      <c r="DJ267" s="43"/>
      <c r="DK267" s="43">
        <v>0.35</v>
      </c>
    </row>
    <row r="268" spans="24:137" s="31" customFormat="1" ht="15.75" thickBot="1">
      <c r="X268" s="114"/>
      <c r="AB268" s="115"/>
      <c r="AC268" s="30"/>
      <c r="AD268" s="71"/>
      <c r="AE268" s="71"/>
      <c r="AF268" s="30"/>
      <c r="AG268" s="71"/>
      <c r="AH268" s="73"/>
      <c r="AI268" s="30"/>
      <c r="AJ268" s="74"/>
      <c r="AK268" s="30"/>
      <c r="AL268" s="78"/>
      <c r="AM268" s="78"/>
      <c r="AN268" s="30"/>
      <c r="AO268" s="71"/>
      <c r="AP268" s="30"/>
      <c r="AQ268" s="30"/>
      <c r="AR268" s="74"/>
      <c r="AS268" s="30"/>
      <c r="AT268" s="30"/>
      <c r="AU268" s="30"/>
      <c r="AV268" s="30"/>
      <c r="AW268" s="71"/>
      <c r="AX268" s="30"/>
      <c r="AY268" s="30"/>
      <c r="AZ268" s="122" t="s">
        <v>599</v>
      </c>
      <c r="BA268" s="125" t="s">
        <v>599</v>
      </c>
      <c r="BB268" s="125">
        <f>CE392</f>
        <v>2.31</v>
      </c>
      <c r="BC268" s="129">
        <f>BB268</f>
        <v>2.31</v>
      </c>
      <c r="BD268" s="129">
        <f>BC268</f>
        <v>2.31</v>
      </c>
      <c r="BE268" s="30"/>
      <c r="BF268" s="30"/>
      <c r="BG268" s="122" t="s">
        <v>599</v>
      </c>
      <c r="BH268" s="125" t="s">
        <v>599</v>
      </c>
      <c r="BI268" s="125">
        <f>CL408</f>
        <v>0</v>
      </c>
      <c r="BJ268" s="129">
        <f>BI268</f>
        <v>0</v>
      </c>
      <c r="BK268" s="129">
        <f>BJ268</f>
        <v>0</v>
      </c>
      <c r="BL268" s="129">
        <f>BD268</f>
        <v>2.31</v>
      </c>
      <c r="BM268" s="129">
        <f>BL268</f>
        <v>2.31</v>
      </c>
      <c r="BN268" s="74"/>
      <c r="BO268" s="30"/>
      <c r="BP268" s="71"/>
      <c r="BQ268" s="71"/>
      <c r="BR268" s="30"/>
      <c r="BS268" s="71"/>
      <c r="BT268" s="129">
        <f>BS268</f>
        <v>0</v>
      </c>
      <c r="BU268" s="129">
        <f>BT268</f>
        <v>0</v>
      </c>
      <c r="BV268" s="74"/>
      <c r="BW268" s="30"/>
      <c r="BX268" s="71"/>
      <c r="BY268" s="30"/>
      <c r="BZ268" s="71"/>
      <c r="CA268" s="30"/>
      <c r="CB268" s="30"/>
      <c r="CC268" s="110"/>
      <c r="CD268" s="111" t="s">
        <v>600</v>
      </c>
      <c r="CE268" s="92" t="s">
        <v>573</v>
      </c>
      <c r="CF268" s="135">
        <f t="shared" si="332"/>
        <v>1.3333333333333332E-2</v>
      </c>
      <c r="CG268" s="92" t="s">
        <v>574</v>
      </c>
      <c r="CH268" s="98">
        <v>0.05</v>
      </c>
      <c r="CI268" s="98">
        <v>0.3</v>
      </c>
      <c r="CJ268" s="97" t="s">
        <v>442</v>
      </c>
      <c r="CK268" s="137"/>
      <c r="CN268" s="137"/>
      <c r="CO268" s="137"/>
      <c r="CP268" s="137"/>
      <c r="CQ268" s="138"/>
      <c r="CR268" s="137"/>
      <c r="CS268" s="95"/>
      <c r="CT268" s="140"/>
      <c r="CU268" s="138"/>
      <c r="CV268" s="138"/>
      <c r="CW268" s="138"/>
      <c r="CX268" s="137"/>
      <c r="CY268" s="137"/>
      <c r="CZ268" s="138"/>
      <c r="DA268" s="138"/>
      <c r="DB268" s="138"/>
      <c r="DC268" s="138"/>
      <c r="DD268" s="137"/>
      <c r="DE268" s="137"/>
      <c r="DF268" s="138"/>
      <c r="DG268" s="138"/>
      <c r="DH268" s="138"/>
      <c r="DI268" s="138"/>
      <c r="DJ268" s="43"/>
      <c r="DK268" s="43">
        <v>0.35</v>
      </c>
    </row>
    <row r="269" spans="24:137" s="31" customFormat="1" ht="15.75" thickBot="1">
      <c r="X269" s="114"/>
      <c r="AB269" s="115"/>
      <c r="AC269" s="30"/>
      <c r="AD269" s="71"/>
      <c r="AE269" s="71"/>
      <c r="AF269" s="30"/>
      <c r="AG269" s="71"/>
      <c r="AH269" s="73"/>
      <c r="AI269" s="30"/>
      <c r="AJ269" s="74"/>
      <c r="AK269" s="30"/>
      <c r="AL269" s="78"/>
      <c r="AM269" s="78"/>
      <c r="AN269" s="30"/>
      <c r="AO269" s="71"/>
      <c r="AP269" s="30"/>
      <c r="AQ269" s="30"/>
      <c r="AR269" s="74"/>
      <c r="AS269" s="30"/>
      <c r="AT269" s="30"/>
      <c r="AU269" s="30"/>
      <c r="AV269" s="30"/>
      <c r="AW269" s="71"/>
      <c r="AX269" s="30"/>
      <c r="AY269" s="30"/>
      <c r="AZ269" s="122" t="s">
        <v>565</v>
      </c>
      <c r="BA269" s="125" t="s">
        <v>565</v>
      </c>
      <c r="BB269" s="130">
        <f>1-((BB266-((BB267*BB268)/(SQRT(9))))/BB266)</f>
        <v>0.60503151247903442</v>
      </c>
      <c r="BC269" s="130">
        <f>1-((BC266-((BC267*BC268)/(SQRT(9))))/BC266)</f>
        <v>0.60503151247903442</v>
      </c>
      <c r="BD269" s="130">
        <f>1-((BD266-((BD267*BD268)/(SQRT(9))))/BD266)</f>
        <v>0.60503151247903419</v>
      </c>
      <c r="BE269" s="30"/>
      <c r="BF269" s="30"/>
      <c r="BG269" s="122" t="s">
        <v>565</v>
      </c>
      <c r="BH269" s="125" t="s">
        <v>565</v>
      </c>
      <c r="BI269" s="130">
        <f>1-((BI266-((BI267*BI268)/(SQRT(9))))/BI266)</f>
        <v>0</v>
      </c>
      <c r="BJ269" s="130">
        <f>1-((BJ266-((BJ267*BJ268)/(SQRT(9))))/BJ266)</f>
        <v>0</v>
      </c>
      <c r="BK269" s="130">
        <f>1-((BK266-((BK267*BK268)/(SQRT(9))))/BK266)</f>
        <v>0</v>
      </c>
      <c r="BL269" s="130">
        <f>1-((BL266-((BL267*BL268)/(SQRT(9))))/BL266)</f>
        <v>0.60503151247903419</v>
      </c>
      <c r="BM269" s="130">
        <f>1-((BM266-((BM267*BM268)/(SQRT(9))))/BM266)</f>
        <v>0.60503151247903408</v>
      </c>
      <c r="BN269" s="74"/>
      <c r="BO269" s="30"/>
      <c r="BP269" s="71"/>
      <c r="BQ269" s="71"/>
      <c r="BR269" s="30"/>
      <c r="BS269" s="71"/>
      <c r="BT269" s="130">
        <f>1-((BT266-((BT267*BT268)/(SQRT(9))))/BT266)</f>
        <v>0</v>
      </c>
      <c r="BU269" s="130">
        <f>1-((BU266-((BU267*BU268)/(SQRT(9))))/BU266)</f>
        <v>0</v>
      </c>
      <c r="BV269" s="74"/>
      <c r="BW269" s="30"/>
      <c r="BX269" s="71"/>
      <c r="BY269" s="30"/>
      <c r="BZ269" s="71"/>
      <c r="CA269" s="30"/>
      <c r="CB269" s="30"/>
      <c r="CC269" s="110"/>
      <c r="CD269" s="111" t="s">
        <v>601</v>
      </c>
      <c r="CE269" s="92" t="s">
        <v>573</v>
      </c>
      <c r="CF269" s="135">
        <f t="shared" si="332"/>
        <v>3.3333333333333331E-3</v>
      </c>
      <c r="CG269" s="92" t="s">
        <v>574</v>
      </c>
      <c r="CH269" s="98">
        <v>0.05</v>
      </c>
      <c r="CI269" s="98">
        <v>0.3</v>
      </c>
      <c r="CJ269" s="97" t="s">
        <v>442</v>
      </c>
      <c r="CK269" s="137"/>
      <c r="CN269" s="137"/>
      <c r="CO269" s="137"/>
      <c r="CP269" s="137"/>
      <c r="CQ269" s="138"/>
      <c r="CR269" s="137"/>
      <c r="CS269" s="95"/>
      <c r="CT269" s="140"/>
      <c r="CU269" s="138"/>
      <c r="CV269" s="138"/>
      <c r="CW269" s="138"/>
      <c r="CX269" s="137"/>
      <c r="CY269" s="137"/>
      <c r="CZ269" s="138"/>
      <c r="DA269" s="138"/>
      <c r="DB269" s="138"/>
      <c r="DC269" s="138"/>
      <c r="DD269" s="137"/>
      <c r="DE269" s="137"/>
      <c r="DF269" s="138"/>
      <c r="DG269" s="138"/>
      <c r="DH269" s="138"/>
      <c r="DI269" s="138"/>
      <c r="DJ269" s="43"/>
      <c r="DK269" s="43">
        <v>0.35</v>
      </c>
    </row>
    <row r="270" spans="24:137" s="30" customFormat="1" ht="29.65" thickBot="1">
      <c r="X270" s="67"/>
      <c r="AB270" s="68"/>
      <c r="AD270" s="71"/>
      <c r="AE270" s="71"/>
      <c r="AG270" s="71"/>
      <c r="AH270" s="73"/>
      <c r="AJ270" s="74"/>
      <c r="AL270" s="78"/>
      <c r="AM270" s="78"/>
      <c r="AO270" s="71"/>
      <c r="AR270" s="74"/>
      <c r="AW270" s="71"/>
      <c r="AZ270" s="74"/>
      <c r="BB270" s="71"/>
      <c r="BD270" s="71"/>
      <c r="BG270" s="74"/>
      <c r="BI270" s="71"/>
      <c r="BK270" s="71"/>
      <c r="BN270" s="74"/>
      <c r="BP270" s="71"/>
      <c r="BQ270" s="71"/>
      <c r="BS270" s="71"/>
      <c r="BV270" s="74"/>
      <c r="BX270" s="71"/>
      <c r="BZ270" s="71"/>
      <c r="CC270" s="110" t="s">
        <v>571</v>
      </c>
      <c r="CD270" s="111" t="s">
        <v>602</v>
      </c>
      <c r="CE270" s="92" t="s">
        <v>573</v>
      </c>
      <c r="CF270" s="96">
        <v>6.4999999999999997E-3</v>
      </c>
      <c r="CG270" s="92" t="s">
        <v>574</v>
      </c>
      <c r="CH270" s="98">
        <v>0.1</v>
      </c>
      <c r="CI270" s="98">
        <v>1</v>
      </c>
      <c r="CJ270" s="97" t="s">
        <v>454</v>
      </c>
      <c r="CK270" s="92" t="s">
        <v>603</v>
      </c>
      <c r="CL270" s="96">
        <f>150/1000000</f>
        <v>1.4999999999999999E-4</v>
      </c>
      <c r="CM270" s="89" t="s">
        <v>604</v>
      </c>
      <c r="CN270" s="98">
        <v>0.1</v>
      </c>
      <c r="CO270" s="98">
        <v>1</v>
      </c>
      <c r="CP270" s="97" t="s">
        <v>442</v>
      </c>
      <c r="CQ270" s="97" t="s">
        <v>454</v>
      </c>
      <c r="CR270" s="139">
        <f>AS261</f>
        <v>7.0266757116481365E-2</v>
      </c>
      <c r="CS270" s="89" t="s">
        <v>605</v>
      </c>
      <c r="CT270" s="98">
        <v>0.1</v>
      </c>
      <c r="CU270" s="98">
        <v>1</v>
      </c>
      <c r="CV270" s="97" t="s">
        <v>454</v>
      </c>
      <c r="CW270" s="41"/>
      <c r="CX270" s="39"/>
      <c r="CY270" s="39"/>
      <c r="CZ270" s="41"/>
      <c r="DA270" s="41"/>
      <c r="DB270" s="41"/>
      <c r="DC270" s="41"/>
      <c r="DD270" s="39"/>
      <c r="DE270" s="39"/>
      <c r="DF270" s="41"/>
      <c r="DG270" s="41"/>
      <c r="DH270" s="41"/>
      <c r="DI270" s="42"/>
      <c r="DJ270" s="43">
        <v>0.4</v>
      </c>
      <c r="DK270" s="43">
        <v>0.35</v>
      </c>
      <c r="EG270" s="31"/>
    </row>
    <row r="271" spans="24:137" s="30" customFormat="1" ht="29.65" thickBot="1">
      <c r="X271" s="67"/>
      <c r="AB271" s="68"/>
      <c r="AD271" s="71"/>
      <c r="AE271" s="71"/>
      <c r="AG271" s="71"/>
      <c r="AH271" s="73"/>
      <c r="AJ271" s="74"/>
      <c r="AL271" s="78"/>
      <c r="AM271" s="78"/>
      <c r="AO271" s="71"/>
      <c r="AR271" s="74"/>
      <c r="AW271" s="71"/>
      <c r="AZ271" s="74"/>
      <c r="BB271" s="71"/>
      <c r="BD271" s="71"/>
      <c r="BG271" s="74"/>
      <c r="BI271" s="71"/>
      <c r="BK271" s="71"/>
      <c r="BN271" s="74"/>
      <c r="BP271" s="71"/>
      <c r="BQ271" s="71"/>
      <c r="BS271" s="71"/>
      <c r="BV271" s="74"/>
      <c r="BX271" s="71"/>
      <c r="BZ271" s="71"/>
      <c r="CC271" s="110" t="s">
        <v>571</v>
      </c>
      <c r="CD271" s="111" t="s">
        <v>606</v>
      </c>
      <c r="CE271" s="92" t="s">
        <v>573</v>
      </c>
      <c r="CF271" s="96">
        <f>0.2/1000000</f>
        <v>2.0000000000000002E-7</v>
      </c>
      <c r="CG271" s="92" t="s">
        <v>574</v>
      </c>
      <c r="CH271" s="98">
        <v>0.1</v>
      </c>
      <c r="CI271" s="98">
        <v>1</v>
      </c>
      <c r="CJ271" s="97" t="s">
        <v>454</v>
      </c>
      <c r="CK271" s="92" t="s">
        <v>603</v>
      </c>
      <c r="CL271" s="96">
        <f>47/1000000</f>
        <v>4.6999999999999997E-5</v>
      </c>
      <c r="CM271" s="89" t="s">
        <v>604</v>
      </c>
      <c r="CN271" s="98">
        <v>0.1</v>
      </c>
      <c r="CO271" s="98">
        <v>1</v>
      </c>
      <c r="CP271" s="97" t="s">
        <v>442</v>
      </c>
      <c r="CQ271" s="97" t="s">
        <v>454</v>
      </c>
      <c r="CR271" s="139">
        <f>AS256</f>
        <v>0.12114958123531271</v>
      </c>
      <c r="CS271" s="89" t="s">
        <v>605</v>
      </c>
      <c r="CT271" s="98">
        <v>0.1</v>
      </c>
      <c r="CU271" s="98">
        <v>1</v>
      </c>
      <c r="CV271" s="97" t="s">
        <v>454</v>
      </c>
      <c r="CW271" s="41"/>
      <c r="CX271" s="39"/>
      <c r="CY271" s="39"/>
      <c r="CZ271" s="41"/>
      <c r="DA271" s="41"/>
      <c r="DB271" s="41"/>
      <c r="DC271" s="41"/>
      <c r="DD271" s="39"/>
      <c r="DE271" s="39"/>
      <c r="DF271" s="41"/>
      <c r="DG271" s="41"/>
      <c r="DH271" s="41"/>
      <c r="DI271" s="42"/>
      <c r="DJ271" s="43">
        <v>0.4</v>
      </c>
      <c r="DK271" s="43">
        <v>0.35</v>
      </c>
    </row>
    <row r="272" spans="24:137" s="30" customFormat="1" ht="29.65" thickBot="1">
      <c r="X272" s="67"/>
      <c r="AB272" s="68"/>
      <c r="AD272" s="71"/>
      <c r="AE272" s="71"/>
      <c r="AG272" s="71"/>
      <c r="AH272" s="73"/>
      <c r="AJ272" s="74"/>
      <c r="AL272" s="78"/>
      <c r="AM272" s="78"/>
      <c r="AO272" s="71"/>
      <c r="AR272" s="74"/>
      <c r="AW272" s="71"/>
      <c r="AZ272" s="74"/>
      <c r="BB272" s="71"/>
      <c r="BD272" s="71"/>
      <c r="BG272" s="74"/>
      <c r="BI272" s="71"/>
      <c r="BK272" s="71"/>
      <c r="BN272" s="74"/>
      <c r="BP272" s="71"/>
      <c r="BQ272" s="71"/>
      <c r="BS272" s="71"/>
      <c r="BV272" s="74"/>
      <c r="BX272" s="71"/>
      <c r="BZ272" s="71"/>
      <c r="CC272" s="110" t="s">
        <v>571</v>
      </c>
      <c r="CD272" s="111" t="s">
        <v>607</v>
      </c>
      <c r="CE272" s="92" t="s">
        <v>573</v>
      </c>
      <c r="CF272" s="96">
        <v>0</v>
      </c>
      <c r="CG272" s="92" t="s">
        <v>574</v>
      </c>
      <c r="CH272" s="98">
        <v>0.1</v>
      </c>
      <c r="CI272" s="98">
        <v>1</v>
      </c>
      <c r="CJ272" s="97" t="s">
        <v>454</v>
      </c>
      <c r="CK272" s="92" t="s">
        <v>603</v>
      </c>
      <c r="CL272" s="96">
        <f>67/1000000</f>
        <v>6.7000000000000002E-5</v>
      </c>
      <c r="CM272" s="89" t="s">
        <v>604</v>
      </c>
      <c r="CN272" s="98">
        <v>0.1</v>
      </c>
      <c r="CO272" s="98">
        <v>1</v>
      </c>
      <c r="CP272" s="97" t="s">
        <v>442</v>
      </c>
      <c r="CQ272" s="97" t="s">
        <v>454</v>
      </c>
      <c r="CR272" s="139">
        <f>CR271</f>
        <v>0.12114958123531271</v>
      </c>
      <c r="CS272" s="89" t="s">
        <v>605</v>
      </c>
      <c r="CT272" s="98">
        <v>0.1</v>
      </c>
      <c r="CU272" s="98">
        <v>1</v>
      </c>
      <c r="CV272" s="97" t="s">
        <v>454</v>
      </c>
      <c r="CW272" s="41"/>
      <c r="CX272" s="39"/>
      <c r="CY272" s="39"/>
      <c r="CZ272" s="41"/>
      <c r="DA272" s="41"/>
      <c r="DB272" s="41"/>
      <c r="DC272" s="41"/>
      <c r="DD272" s="39"/>
      <c r="DE272" s="39"/>
      <c r="DF272" s="41"/>
      <c r="DG272" s="41"/>
      <c r="DH272" s="41"/>
      <c r="DI272" s="42"/>
      <c r="DJ272" s="43">
        <v>0.4</v>
      </c>
      <c r="DK272" s="43">
        <v>0.35</v>
      </c>
    </row>
    <row r="273" spans="24:115" s="30" customFormat="1" ht="29.65" thickBot="1">
      <c r="X273" s="67"/>
      <c r="AB273" s="68"/>
      <c r="AD273" s="71"/>
      <c r="AE273" s="71"/>
      <c r="AG273" s="71"/>
      <c r="AH273" s="73"/>
      <c r="AJ273" s="74"/>
      <c r="AL273" s="78"/>
      <c r="AM273" s="78"/>
      <c r="AO273" s="71"/>
      <c r="AR273" s="74"/>
      <c r="AW273" s="71"/>
      <c r="AZ273" s="74"/>
      <c r="BB273" s="71"/>
      <c r="BD273" s="71"/>
      <c r="BG273" s="74"/>
      <c r="BI273" s="71"/>
      <c r="BK273" s="71"/>
      <c r="BN273" s="74"/>
      <c r="BP273" s="71"/>
      <c r="BQ273" s="71"/>
      <c r="BS273" s="71"/>
      <c r="BV273" s="74"/>
      <c r="BX273" s="71"/>
      <c r="BZ273" s="71"/>
      <c r="CC273" s="110" t="s">
        <v>571</v>
      </c>
      <c r="CD273" s="111" t="s">
        <v>608</v>
      </c>
      <c r="CE273" s="92" t="s">
        <v>573</v>
      </c>
      <c r="CF273" s="96">
        <f>60/1000000</f>
        <v>6.0000000000000002E-5</v>
      </c>
      <c r="CG273" s="92" t="s">
        <v>574</v>
      </c>
      <c r="CH273" s="98">
        <v>0.1</v>
      </c>
      <c r="CI273" s="98">
        <v>1</v>
      </c>
      <c r="CJ273" s="97" t="s">
        <v>454</v>
      </c>
      <c r="CK273" s="92" t="s">
        <v>603</v>
      </c>
      <c r="CL273" s="96">
        <f>56/1000000</f>
        <v>5.5999999999999999E-5</v>
      </c>
      <c r="CM273" s="89" t="s">
        <v>604</v>
      </c>
      <c r="CN273" s="98">
        <v>0.1</v>
      </c>
      <c r="CO273" s="98">
        <v>1</v>
      </c>
      <c r="CP273" s="97" t="s">
        <v>442</v>
      </c>
      <c r="CQ273" s="97" t="s">
        <v>454</v>
      </c>
      <c r="CR273" s="139">
        <f>CR272</f>
        <v>0.12114958123531271</v>
      </c>
      <c r="CS273" s="89" t="s">
        <v>605</v>
      </c>
      <c r="CT273" s="98">
        <v>0.1</v>
      </c>
      <c r="CU273" s="98">
        <v>1</v>
      </c>
      <c r="CV273" s="97" t="s">
        <v>454</v>
      </c>
      <c r="CW273" s="41"/>
      <c r="CX273" s="39"/>
      <c r="CY273" s="39"/>
      <c r="CZ273" s="41"/>
      <c r="DA273" s="41"/>
      <c r="DB273" s="41"/>
      <c r="DC273" s="41"/>
      <c r="DD273" s="39"/>
      <c r="DE273" s="39"/>
      <c r="DF273" s="41"/>
      <c r="DG273" s="41"/>
      <c r="DH273" s="41"/>
      <c r="DI273" s="42"/>
      <c r="DJ273" s="43">
        <v>0.4</v>
      </c>
      <c r="DK273" s="43">
        <v>0.35</v>
      </c>
    </row>
    <row r="274" spans="24:115" s="30" customFormat="1" ht="29.65" thickBot="1">
      <c r="X274" s="67"/>
      <c r="AB274" s="68"/>
      <c r="AD274" s="71"/>
      <c r="AE274" s="71"/>
      <c r="AG274" s="71"/>
      <c r="AH274" s="73"/>
      <c r="AJ274" s="74"/>
      <c r="AL274" s="78"/>
      <c r="AM274" s="78"/>
      <c r="AO274" s="71"/>
      <c r="AR274" s="74"/>
      <c r="AW274" s="71"/>
      <c r="AZ274" s="74"/>
      <c r="BB274" s="71"/>
      <c r="BD274" s="71"/>
      <c r="BG274" s="74"/>
      <c r="BI274" s="71"/>
      <c r="BK274" s="71"/>
      <c r="BN274" s="74"/>
      <c r="BP274" s="71"/>
      <c r="BQ274" s="71"/>
      <c r="BS274" s="71"/>
      <c r="BV274" s="74"/>
      <c r="BX274" s="71"/>
      <c r="BZ274" s="71"/>
      <c r="CC274" s="110" t="s">
        <v>571</v>
      </c>
      <c r="CD274" s="111" t="s">
        <v>609</v>
      </c>
      <c r="CE274" s="92" t="s">
        <v>573</v>
      </c>
      <c r="CF274" s="96">
        <f>237/1000000</f>
        <v>2.3699999999999999E-4</v>
      </c>
      <c r="CG274" s="92" t="s">
        <v>574</v>
      </c>
      <c r="CH274" s="98">
        <v>0.1</v>
      </c>
      <c r="CI274" s="98">
        <v>1</v>
      </c>
      <c r="CJ274" s="97" t="s">
        <v>454</v>
      </c>
      <c r="CK274" s="92" t="s">
        <v>603</v>
      </c>
      <c r="CL274" s="96">
        <f>221/1000000</f>
        <v>2.2100000000000001E-4</v>
      </c>
      <c r="CM274" s="89" t="s">
        <v>604</v>
      </c>
      <c r="CN274" s="98">
        <v>0.1</v>
      </c>
      <c r="CO274" s="98">
        <v>1</v>
      </c>
      <c r="CP274" s="97" t="s">
        <v>442</v>
      </c>
      <c r="CQ274" s="97" t="s">
        <v>454</v>
      </c>
      <c r="CR274" s="139">
        <f>CR273</f>
        <v>0.12114958123531271</v>
      </c>
      <c r="CS274" s="89" t="s">
        <v>605</v>
      </c>
      <c r="CT274" s="98">
        <v>0.1</v>
      </c>
      <c r="CU274" s="98">
        <v>1</v>
      </c>
      <c r="CV274" s="97" t="s">
        <v>454</v>
      </c>
      <c r="CW274" s="41"/>
      <c r="CX274" s="39"/>
      <c r="CY274" s="39"/>
      <c r="CZ274" s="41"/>
      <c r="DA274" s="41"/>
      <c r="DB274" s="41"/>
      <c r="DC274" s="41"/>
      <c r="DD274" s="39"/>
      <c r="DE274" s="39"/>
      <c r="DF274" s="41"/>
      <c r="DG274" s="41"/>
      <c r="DH274" s="41"/>
      <c r="DI274" s="42"/>
      <c r="DJ274" s="43">
        <v>0.4</v>
      </c>
      <c r="DK274" s="43">
        <v>0.35</v>
      </c>
    </row>
    <row r="275" spans="24:115" s="30" customFormat="1" ht="29.65" thickBot="1">
      <c r="X275" s="67"/>
      <c r="AB275" s="68"/>
      <c r="AD275" s="71"/>
      <c r="AE275" s="71"/>
      <c r="AG275" s="71"/>
      <c r="AH275" s="73"/>
      <c r="AJ275" s="74"/>
      <c r="AL275" s="78"/>
      <c r="AM275" s="78"/>
      <c r="AO275" s="71"/>
      <c r="AR275" s="74"/>
      <c r="AW275" s="71"/>
      <c r="AZ275" s="74"/>
      <c r="BB275" s="71"/>
      <c r="BD275" s="71"/>
      <c r="BG275" s="74"/>
      <c r="BI275" s="71"/>
      <c r="BK275" s="71"/>
      <c r="BN275" s="74"/>
      <c r="BP275" s="71"/>
      <c r="BQ275" s="71"/>
      <c r="BS275" s="71"/>
      <c r="BV275" s="74"/>
      <c r="BX275" s="71"/>
      <c r="BZ275" s="71"/>
      <c r="CC275" s="110" t="s">
        <v>571</v>
      </c>
      <c r="CD275" s="111" t="s">
        <v>610</v>
      </c>
      <c r="CE275" s="92" t="s">
        <v>573</v>
      </c>
      <c r="CF275" s="96">
        <f>0.2/1000000</f>
        <v>2.0000000000000002E-7</v>
      </c>
      <c r="CG275" s="92" t="s">
        <v>574</v>
      </c>
      <c r="CH275" s="98">
        <v>0.1</v>
      </c>
      <c r="CI275" s="98">
        <v>1</v>
      </c>
      <c r="CJ275" s="97" t="s">
        <v>454</v>
      </c>
      <c r="CK275" s="92" t="s">
        <v>603</v>
      </c>
      <c r="CL275" s="96">
        <f>100/1000000</f>
        <v>1E-4</v>
      </c>
      <c r="CM275" s="89" t="s">
        <v>604</v>
      </c>
      <c r="CN275" s="98">
        <v>0.1</v>
      </c>
      <c r="CO275" s="98">
        <v>1</v>
      </c>
      <c r="CP275" s="97" t="s">
        <v>442</v>
      </c>
      <c r="CQ275" s="97" t="s">
        <v>454</v>
      </c>
      <c r="CR275" s="139">
        <f>AS259</f>
        <v>0.97350000000000014</v>
      </c>
      <c r="CS275" s="89" t="s">
        <v>605</v>
      </c>
      <c r="CT275" s="98">
        <v>0.1</v>
      </c>
      <c r="CU275" s="98">
        <v>1</v>
      </c>
      <c r="CV275" s="97" t="s">
        <v>454</v>
      </c>
      <c r="CW275" s="41"/>
      <c r="CX275" s="39"/>
      <c r="CY275" s="39"/>
      <c r="CZ275" s="41"/>
      <c r="DA275" s="41"/>
      <c r="DB275" s="41"/>
      <c r="DC275" s="41"/>
      <c r="DD275" s="39"/>
      <c r="DE275" s="39"/>
      <c r="DF275" s="41"/>
      <c r="DG275" s="41"/>
      <c r="DH275" s="41"/>
      <c r="DI275" s="42"/>
      <c r="DJ275" s="43">
        <v>0.4</v>
      </c>
      <c r="DK275" s="43">
        <v>0.35</v>
      </c>
    </row>
    <row r="276" spans="24:115" s="30" customFormat="1" ht="29.65" thickBot="1">
      <c r="X276" s="67"/>
      <c r="AB276" s="68"/>
      <c r="AD276" s="71"/>
      <c r="AE276" s="71"/>
      <c r="AG276" s="71"/>
      <c r="AH276" s="73"/>
      <c r="AJ276" s="74"/>
      <c r="AL276" s="78"/>
      <c r="AM276" s="78"/>
      <c r="AO276" s="71"/>
      <c r="AR276" s="74"/>
      <c r="AW276" s="71"/>
      <c r="AZ276" s="74"/>
      <c r="BB276" s="71"/>
      <c r="BD276" s="71"/>
      <c r="BG276" s="74"/>
      <c r="BI276" s="71"/>
      <c r="BK276" s="71"/>
      <c r="BN276" s="74"/>
      <c r="BP276" s="71"/>
      <c r="BQ276" s="71"/>
      <c r="BS276" s="71"/>
      <c r="BV276" s="74"/>
      <c r="BX276" s="71"/>
      <c r="BZ276" s="71"/>
      <c r="CC276" s="110" t="s">
        <v>571</v>
      </c>
      <c r="CD276" s="111" t="s">
        <v>611</v>
      </c>
      <c r="CE276" s="92" t="s">
        <v>573</v>
      </c>
      <c r="CF276" s="96">
        <v>0</v>
      </c>
      <c r="CG276" s="92" t="s">
        <v>574</v>
      </c>
      <c r="CH276" s="98">
        <v>0.1</v>
      </c>
      <c r="CI276" s="98">
        <v>1</v>
      </c>
      <c r="CJ276" s="97" t="s">
        <v>454</v>
      </c>
      <c r="CK276" s="92" t="s">
        <v>603</v>
      </c>
      <c r="CL276" s="96">
        <f t="shared" ref="CL276:CL278" si="333">100/1000000</f>
        <v>1E-4</v>
      </c>
      <c r="CM276" s="89" t="s">
        <v>604</v>
      </c>
      <c r="CN276" s="98">
        <v>0.1</v>
      </c>
      <c r="CO276" s="98">
        <v>1</v>
      </c>
      <c r="CP276" s="97" t="s">
        <v>442</v>
      </c>
      <c r="CQ276" s="97" t="s">
        <v>454</v>
      </c>
      <c r="CR276" s="139">
        <f>CR275</f>
        <v>0.97350000000000014</v>
      </c>
      <c r="CS276" s="89" t="s">
        <v>605</v>
      </c>
      <c r="CT276" s="98">
        <v>0.1</v>
      </c>
      <c r="CU276" s="98">
        <v>1</v>
      </c>
      <c r="CV276" s="97" t="s">
        <v>454</v>
      </c>
      <c r="CW276" s="41"/>
      <c r="CX276" s="39"/>
      <c r="CY276" s="39"/>
      <c r="CZ276" s="41"/>
      <c r="DA276" s="41"/>
      <c r="DB276" s="41"/>
      <c r="DC276" s="41"/>
      <c r="DD276" s="39"/>
      <c r="DE276" s="39"/>
      <c r="DF276" s="41"/>
      <c r="DG276" s="41"/>
      <c r="DH276" s="41"/>
      <c r="DI276" s="42"/>
      <c r="DJ276" s="43">
        <v>0.4</v>
      </c>
      <c r="DK276" s="43">
        <v>0.35</v>
      </c>
    </row>
    <row r="277" spans="24:115" s="30" customFormat="1" ht="29.65" thickBot="1">
      <c r="X277" s="67"/>
      <c r="AB277" s="68"/>
      <c r="AD277" s="71"/>
      <c r="AE277" s="71"/>
      <c r="AG277" s="71"/>
      <c r="AH277" s="73"/>
      <c r="AJ277" s="74"/>
      <c r="AL277" s="78"/>
      <c r="AM277" s="78"/>
      <c r="AO277" s="71"/>
      <c r="AR277" s="74"/>
      <c r="AW277" s="71"/>
      <c r="AZ277" s="74"/>
      <c r="BB277" s="71"/>
      <c r="BD277" s="71"/>
      <c r="BG277" s="74"/>
      <c r="BI277" s="71"/>
      <c r="BK277" s="71"/>
      <c r="BN277" s="74"/>
      <c r="BP277" s="71"/>
      <c r="BQ277" s="71"/>
      <c r="BS277" s="71"/>
      <c r="BV277" s="74"/>
      <c r="BX277" s="71"/>
      <c r="BZ277" s="71"/>
      <c r="CC277" s="110" t="s">
        <v>571</v>
      </c>
      <c r="CD277" s="111" t="s">
        <v>612</v>
      </c>
      <c r="CE277" s="92" t="s">
        <v>573</v>
      </c>
      <c r="CF277" s="96">
        <f>60/1000000</f>
        <v>6.0000000000000002E-5</v>
      </c>
      <c r="CG277" s="92" t="s">
        <v>574</v>
      </c>
      <c r="CH277" s="98">
        <v>0.1</v>
      </c>
      <c r="CI277" s="98">
        <v>1</v>
      </c>
      <c r="CJ277" s="97" t="s">
        <v>454</v>
      </c>
      <c r="CK277" s="92" t="s">
        <v>603</v>
      </c>
      <c r="CL277" s="96">
        <f t="shared" si="333"/>
        <v>1E-4</v>
      </c>
      <c r="CM277" s="89" t="s">
        <v>604</v>
      </c>
      <c r="CN277" s="98">
        <v>0.1</v>
      </c>
      <c r="CO277" s="98">
        <v>1</v>
      </c>
      <c r="CP277" s="97" t="s">
        <v>442</v>
      </c>
      <c r="CQ277" s="97" t="s">
        <v>454</v>
      </c>
      <c r="CR277" s="139">
        <f>CR276</f>
        <v>0.97350000000000014</v>
      </c>
      <c r="CS277" s="89" t="s">
        <v>605</v>
      </c>
      <c r="CT277" s="98">
        <v>0.1</v>
      </c>
      <c r="CU277" s="98">
        <v>1</v>
      </c>
      <c r="CV277" s="97" t="s">
        <v>454</v>
      </c>
      <c r="CW277" s="41"/>
      <c r="CX277" s="39"/>
      <c r="CY277" s="39"/>
      <c r="CZ277" s="41"/>
      <c r="DA277" s="41"/>
      <c r="DB277" s="41"/>
      <c r="DC277" s="41"/>
      <c r="DD277" s="39"/>
      <c r="DE277" s="39"/>
      <c r="DF277" s="41"/>
      <c r="DG277" s="41"/>
      <c r="DH277" s="41"/>
      <c r="DI277" s="42"/>
      <c r="DJ277" s="43">
        <v>0.4</v>
      </c>
      <c r="DK277" s="43">
        <v>0.35</v>
      </c>
    </row>
    <row r="278" spans="24:115" s="30" customFormat="1" ht="29.65" thickBot="1">
      <c r="X278" s="67"/>
      <c r="AB278" s="68"/>
      <c r="AD278" s="71"/>
      <c r="AE278" s="71"/>
      <c r="AG278" s="71"/>
      <c r="AH278" s="73"/>
      <c r="AJ278" s="74"/>
      <c r="AL278" s="78"/>
      <c r="AM278" s="78"/>
      <c r="AO278" s="71"/>
      <c r="AR278" s="74"/>
      <c r="AW278" s="71"/>
      <c r="AZ278" s="74"/>
      <c r="BB278" s="71"/>
      <c r="BD278" s="71"/>
      <c r="BG278" s="74"/>
      <c r="BI278" s="71"/>
      <c r="BK278" s="71"/>
      <c r="BN278" s="74"/>
      <c r="BP278" s="71"/>
      <c r="BQ278" s="71"/>
      <c r="BS278" s="71"/>
      <c r="BV278" s="74"/>
      <c r="BX278" s="71"/>
      <c r="BZ278" s="71"/>
      <c r="CC278" s="110" t="s">
        <v>571</v>
      </c>
      <c r="CD278" s="111" t="s">
        <v>613</v>
      </c>
      <c r="CE278" s="92" t="s">
        <v>573</v>
      </c>
      <c r="CF278" s="96">
        <f>237/1000000</f>
        <v>2.3699999999999999E-4</v>
      </c>
      <c r="CG278" s="92" t="s">
        <v>574</v>
      </c>
      <c r="CH278" s="98">
        <v>0.1</v>
      </c>
      <c r="CI278" s="98">
        <v>1</v>
      </c>
      <c r="CJ278" s="97" t="s">
        <v>454</v>
      </c>
      <c r="CK278" s="92" t="s">
        <v>603</v>
      </c>
      <c r="CL278" s="96">
        <f t="shared" si="333"/>
        <v>1E-4</v>
      </c>
      <c r="CM278" s="89" t="s">
        <v>604</v>
      </c>
      <c r="CN278" s="98">
        <v>0.1</v>
      </c>
      <c r="CO278" s="98">
        <v>1</v>
      </c>
      <c r="CP278" s="97" t="s">
        <v>442</v>
      </c>
      <c r="CQ278" s="97" t="s">
        <v>454</v>
      </c>
      <c r="CR278" s="139">
        <f>CR277</f>
        <v>0.97350000000000014</v>
      </c>
      <c r="CS278" s="89" t="s">
        <v>605</v>
      </c>
      <c r="CT278" s="98">
        <v>0.1</v>
      </c>
      <c r="CU278" s="98">
        <v>1</v>
      </c>
      <c r="CV278" s="97" t="s">
        <v>454</v>
      </c>
      <c r="CW278" s="41"/>
      <c r="CX278" s="39"/>
      <c r="CY278" s="39"/>
      <c r="CZ278" s="41"/>
      <c r="DA278" s="41"/>
      <c r="DB278" s="41"/>
      <c r="DC278" s="41"/>
      <c r="DD278" s="39"/>
      <c r="DE278" s="39"/>
      <c r="DF278" s="41"/>
      <c r="DG278" s="41"/>
      <c r="DH278" s="41"/>
      <c r="DI278" s="42"/>
      <c r="DJ278" s="43">
        <v>0.4</v>
      </c>
      <c r="DK278" s="43">
        <v>0.35</v>
      </c>
    </row>
    <row r="279" spans="24:115" s="30" customFormat="1" ht="29.65" thickBot="1">
      <c r="X279" s="67"/>
      <c r="AB279" s="68"/>
      <c r="AD279" s="71"/>
      <c r="AE279" s="71"/>
      <c r="AG279" s="71"/>
      <c r="AH279" s="73"/>
      <c r="AJ279" s="74"/>
      <c r="AL279" s="78"/>
      <c r="AM279" s="78"/>
      <c r="AO279" s="71"/>
      <c r="AR279" s="74"/>
      <c r="AW279" s="71"/>
      <c r="AZ279" s="74"/>
      <c r="BB279" s="71"/>
      <c r="BD279" s="71"/>
      <c r="BG279" s="74"/>
      <c r="BI279" s="71"/>
      <c r="BK279" s="71"/>
      <c r="BN279" s="74"/>
      <c r="BP279" s="71"/>
      <c r="BQ279" s="71"/>
      <c r="BS279" s="71"/>
      <c r="BV279" s="74"/>
      <c r="BX279" s="71"/>
      <c r="BZ279" s="71"/>
      <c r="CC279" s="110" t="s">
        <v>571</v>
      </c>
      <c r="CD279" s="111" t="s">
        <v>614</v>
      </c>
      <c r="CE279" s="92" t="s">
        <v>573</v>
      </c>
      <c r="CF279" s="96">
        <f>0.2/1000000</f>
        <v>2.0000000000000002E-7</v>
      </c>
      <c r="CG279" s="92" t="s">
        <v>574</v>
      </c>
      <c r="CH279" s="98">
        <v>0.1</v>
      </c>
      <c r="CI279" s="98">
        <v>1</v>
      </c>
      <c r="CJ279" s="97" t="s">
        <v>454</v>
      </c>
      <c r="CK279" s="92" t="s">
        <v>603</v>
      </c>
      <c r="CL279" s="96">
        <f>47/1000000</f>
        <v>4.6999999999999997E-5</v>
      </c>
      <c r="CM279" s="89" t="s">
        <v>604</v>
      </c>
      <c r="CN279" s="98">
        <v>0.1</v>
      </c>
      <c r="CO279" s="98">
        <v>1</v>
      </c>
      <c r="CP279" s="97" t="s">
        <v>442</v>
      </c>
      <c r="CQ279" s="97" t="s">
        <v>454</v>
      </c>
      <c r="CR279" s="139">
        <f>AS258</f>
        <v>0.48532000000000003</v>
      </c>
      <c r="CS279" s="89" t="s">
        <v>605</v>
      </c>
      <c r="CT279" s="98">
        <v>0.1</v>
      </c>
      <c r="CU279" s="98">
        <v>1</v>
      </c>
      <c r="CV279" s="97" t="s">
        <v>454</v>
      </c>
      <c r="CW279" s="41"/>
      <c r="CX279" s="39"/>
      <c r="CY279" s="39"/>
      <c r="CZ279" s="41"/>
      <c r="DA279" s="41"/>
      <c r="DB279" s="41"/>
      <c r="DC279" s="41"/>
      <c r="DD279" s="39"/>
      <c r="DE279" s="39"/>
      <c r="DF279" s="41"/>
      <c r="DG279" s="41"/>
      <c r="DH279" s="41"/>
      <c r="DI279" s="42"/>
      <c r="DJ279" s="43">
        <v>0.4</v>
      </c>
      <c r="DK279" s="43">
        <v>0.35</v>
      </c>
    </row>
    <row r="280" spans="24:115" s="30" customFormat="1" ht="29.65" thickBot="1">
      <c r="X280" s="67"/>
      <c r="AB280" s="68"/>
      <c r="AD280" s="71"/>
      <c r="AE280" s="71"/>
      <c r="AG280" s="71"/>
      <c r="AH280" s="73"/>
      <c r="AJ280" s="74"/>
      <c r="AL280" s="78"/>
      <c r="AM280" s="78"/>
      <c r="AO280" s="71"/>
      <c r="AR280" s="74"/>
      <c r="AW280" s="71"/>
      <c r="AZ280" s="74"/>
      <c r="BB280" s="71"/>
      <c r="BD280" s="71"/>
      <c r="BG280" s="74"/>
      <c r="BI280" s="71"/>
      <c r="BK280" s="71"/>
      <c r="BN280" s="74"/>
      <c r="BP280" s="71"/>
      <c r="BQ280" s="71"/>
      <c r="BS280" s="71"/>
      <c r="BV280" s="74"/>
      <c r="BX280" s="71"/>
      <c r="BZ280" s="71"/>
      <c r="CC280" s="110" t="s">
        <v>571</v>
      </c>
      <c r="CD280" s="111" t="s">
        <v>615</v>
      </c>
      <c r="CE280" s="92" t="s">
        <v>573</v>
      </c>
      <c r="CF280" s="96">
        <v>0</v>
      </c>
      <c r="CG280" s="92" t="s">
        <v>574</v>
      </c>
      <c r="CH280" s="98">
        <v>0.1</v>
      </c>
      <c r="CI280" s="98">
        <v>1</v>
      </c>
      <c r="CJ280" s="97" t="s">
        <v>454</v>
      </c>
      <c r="CK280" s="92" t="s">
        <v>603</v>
      </c>
      <c r="CL280" s="96">
        <f>67/1000000</f>
        <v>6.7000000000000002E-5</v>
      </c>
      <c r="CM280" s="89" t="s">
        <v>604</v>
      </c>
      <c r="CN280" s="98">
        <v>0.1</v>
      </c>
      <c r="CO280" s="98">
        <v>1</v>
      </c>
      <c r="CP280" s="97" t="s">
        <v>442</v>
      </c>
      <c r="CQ280" s="97" t="s">
        <v>454</v>
      </c>
      <c r="CR280" s="139">
        <f>CR279</f>
        <v>0.48532000000000003</v>
      </c>
      <c r="CS280" s="89" t="s">
        <v>605</v>
      </c>
      <c r="CT280" s="98">
        <v>0.1</v>
      </c>
      <c r="CU280" s="98">
        <v>1</v>
      </c>
      <c r="CV280" s="97" t="s">
        <v>454</v>
      </c>
      <c r="CW280" s="41"/>
      <c r="CX280" s="39"/>
      <c r="CY280" s="39"/>
      <c r="CZ280" s="41"/>
      <c r="DA280" s="41"/>
      <c r="DB280" s="41"/>
      <c r="DC280" s="41"/>
      <c r="DD280" s="39"/>
      <c r="DE280" s="39"/>
      <c r="DF280" s="41"/>
      <c r="DG280" s="41"/>
      <c r="DH280" s="41"/>
      <c r="DI280" s="42"/>
      <c r="DJ280" s="43">
        <v>0.4</v>
      </c>
      <c r="DK280" s="43">
        <v>0.35</v>
      </c>
    </row>
    <row r="281" spans="24:115" s="30" customFormat="1" ht="29.65" thickBot="1">
      <c r="X281" s="67"/>
      <c r="AB281" s="68"/>
      <c r="AD281" s="71"/>
      <c r="AE281" s="71"/>
      <c r="AG281" s="71"/>
      <c r="AH281" s="73"/>
      <c r="AJ281" s="74"/>
      <c r="AL281" s="78"/>
      <c r="AM281" s="78"/>
      <c r="AO281" s="71"/>
      <c r="AR281" s="74"/>
      <c r="AW281" s="71"/>
      <c r="AZ281" s="74"/>
      <c r="BB281" s="71"/>
      <c r="BD281" s="71"/>
      <c r="BG281" s="74"/>
      <c r="BI281" s="71"/>
      <c r="BK281" s="71"/>
      <c r="BN281" s="74"/>
      <c r="BP281" s="71"/>
      <c r="BQ281" s="71"/>
      <c r="BS281" s="71"/>
      <c r="BV281" s="74"/>
      <c r="BX281" s="71"/>
      <c r="BZ281" s="71"/>
      <c r="CC281" s="110" t="s">
        <v>571</v>
      </c>
      <c r="CD281" s="111" t="s">
        <v>616</v>
      </c>
      <c r="CE281" s="92" t="s">
        <v>573</v>
      </c>
      <c r="CF281" s="96">
        <f>60/1000000</f>
        <v>6.0000000000000002E-5</v>
      </c>
      <c r="CG281" s="92" t="s">
        <v>574</v>
      </c>
      <c r="CH281" s="98">
        <v>0.1</v>
      </c>
      <c r="CI281" s="98">
        <v>1</v>
      </c>
      <c r="CJ281" s="97" t="s">
        <v>454</v>
      </c>
      <c r="CK281" s="92" t="s">
        <v>603</v>
      </c>
      <c r="CL281" s="96">
        <f>56/1000000</f>
        <v>5.5999999999999999E-5</v>
      </c>
      <c r="CM281" s="89" t="s">
        <v>604</v>
      </c>
      <c r="CN281" s="98">
        <v>0.1</v>
      </c>
      <c r="CO281" s="98">
        <v>1</v>
      </c>
      <c r="CP281" s="97" t="s">
        <v>442</v>
      </c>
      <c r="CQ281" s="97" t="s">
        <v>454</v>
      </c>
      <c r="CR281" s="139">
        <f>CR280</f>
        <v>0.48532000000000003</v>
      </c>
      <c r="CS281" s="89" t="s">
        <v>605</v>
      </c>
      <c r="CT281" s="98">
        <v>0.1</v>
      </c>
      <c r="CU281" s="98">
        <v>1</v>
      </c>
      <c r="CV281" s="97" t="s">
        <v>454</v>
      </c>
      <c r="CW281" s="41"/>
      <c r="CX281" s="39"/>
      <c r="CY281" s="39"/>
      <c r="CZ281" s="41"/>
      <c r="DA281" s="41"/>
      <c r="DB281" s="41"/>
      <c r="DC281" s="41"/>
      <c r="DD281" s="39"/>
      <c r="DE281" s="39"/>
      <c r="DF281" s="41"/>
      <c r="DG281" s="41"/>
      <c r="DH281" s="41"/>
      <c r="DI281" s="42"/>
      <c r="DJ281" s="43">
        <v>0.4</v>
      </c>
      <c r="DK281" s="43">
        <v>0.35</v>
      </c>
    </row>
    <row r="282" spans="24:115" s="30" customFormat="1" ht="29.65" thickBot="1">
      <c r="X282" s="67"/>
      <c r="AB282" s="68"/>
      <c r="AD282" s="71"/>
      <c r="AE282" s="71"/>
      <c r="AG282" s="71"/>
      <c r="AH282" s="73"/>
      <c r="AJ282" s="74"/>
      <c r="AL282" s="78"/>
      <c r="AM282" s="78"/>
      <c r="AO282" s="71"/>
      <c r="AR282" s="74"/>
      <c r="AW282" s="71"/>
      <c r="AZ282" s="74"/>
      <c r="BB282" s="71"/>
      <c r="BD282" s="71"/>
      <c r="BG282" s="74"/>
      <c r="BI282" s="71"/>
      <c r="BK282" s="71"/>
      <c r="BN282" s="74"/>
      <c r="BP282" s="71"/>
      <c r="BQ282" s="71"/>
      <c r="BS282" s="71"/>
      <c r="BV282" s="74"/>
      <c r="BX282" s="71"/>
      <c r="BZ282" s="71"/>
      <c r="CC282" s="110" t="s">
        <v>571</v>
      </c>
      <c r="CD282" s="111" t="s">
        <v>617</v>
      </c>
      <c r="CE282" s="92" t="s">
        <v>573</v>
      </c>
      <c r="CF282" s="96">
        <f>237/1000000</f>
        <v>2.3699999999999999E-4</v>
      </c>
      <c r="CG282" s="92" t="s">
        <v>574</v>
      </c>
      <c r="CH282" s="98">
        <v>0.1</v>
      </c>
      <c r="CI282" s="98">
        <v>1</v>
      </c>
      <c r="CJ282" s="97" t="s">
        <v>454</v>
      </c>
      <c r="CK282" s="92" t="s">
        <v>603</v>
      </c>
      <c r="CL282" s="96">
        <f>221/1000000</f>
        <v>2.2100000000000001E-4</v>
      </c>
      <c r="CM282" s="89" t="s">
        <v>604</v>
      </c>
      <c r="CN282" s="98">
        <v>0.1</v>
      </c>
      <c r="CO282" s="98">
        <v>1</v>
      </c>
      <c r="CP282" s="97" t="s">
        <v>442</v>
      </c>
      <c r="CQ282" s="97" t="s">
        <v>454</v>
      </c>
      <c r="CR282" s="139">
        <f>CR281</f>
        <v>0.48532000000000003</v>
      </c>
      <c r="CS282" s="89" t="s">
        <v>605</v>
      </c>
      <c r="CT282" s="98">
        <v>0.1</v>
      </c>
      <c r="CU282" s="98">
        <v>1</v>
      </c>
      <c r="CV282" s="97" t="s">
        <v>454</v>
      </c>
      <c r="CW282" s="41"/>
      <c r="CX282" s="39"/>
      <c r="CY282" s="39"/>
      <c r="CZ282" s="41"/>
      <c r="DA282" s="41"/>
      <c r="DB282" s="41"/>
      <c r="DC282" s="41"/>
      <c r="DD282" s="39"/>
      <c r="DE282" s="39"/>
      <c r="DF282" s="41"/>
      <c r="DG282" s="41"/>
      <c r="DH282" s="41"/>
      <c r="DI282" s="42"/>
      <c r="DJ282" s="43">
        <v>0.4</v>
      </c>
      <c r="DK282" s="43">
        <v>0.35</v>
      </c>
    </row>
    <row r="283" spans="24:115" s="30" customFormat="1" ht="29.65" thickBot="1">
      <c r="X283" s="67"/>
      <c r="AB283" s="68"/>
      <c r="AD283" s="71"/>
      <c r="AE283" s="71"/>
      <c r="AG283" s="71"/>
      <c r="AH283" s="73"/>
      <c r="AJ283" s="74"/>
      <c r="AL283" s="78"/>
      <c r="AM283" s="78"/>
      <c r="AO283" s="71"/>
      <c r="AR283" s="74"/>
      <c r="AW283" s="71"/>
      <c r="AZ283" s="74"/>
      <c r="BB283" s="71"/>
      <c r="BD283" s="71"/>
      <c r="BG283" s="74"/>
      <c r="BI283" s="71"/>
      <c r="BK283" s="71"/>
      <c r="BN283" s="74"/>
      <c r="BP283" s="71"/>
      <c r="BQ283" s="71"/>
      <c r="BS283" s="71"/>
      <c r="BV283" s="74"/>
      <c r="BX283" s="71"/>
      <c r="BZ283" s="71"/>
      <c r="CC283" s="110" t="s">
        <v>571</v>
      </c>
      <c r="CD283" s="111" t="s">
        <v>618</v>
      </c>
      <c r="CE283" s="92" t="s">
        <v>573</v>
      </c>
      <c r="CF283" s="96">
        <f>0.2/1000000</f>
        <v>2.0000000000000002E-7</v>
      </c>
      <c r="CG283" s="92" t="s">
        <v>574</v>
      </c>
      <c r="CH283" s="98">
        <v>0.1</v>
      </c>
      <c r="CI283" s="98">
        <v>1</v>
      </c>
      <c r="CJ283" s="97" t="s">
        <v>454</v>
      </c>
      <c r="CK283" s="92" t="s">
        <v>603</v>
      </c>
      <c r="CL283" s="96">
        <f>900/1000000</f>
        <v>8.9999999999999998E-4</v>
      </c>
      <c r="CM283" s="89" t="s">
        <v>604</v>
      </c>
      <c r="CN283" s="98">
        <v>0.1</v>
      </c>
      <c r="CO283" s="98">
        <v>1</v>
      </c>
      <c r="CP283" s="97" t="s">
        <v>442</v>
      </c>
      <c r="CQ283" s="97" t="s">
        <v>454</v>
      </c>
      <c r="CR283" s="139">
        <f>AS257</f>
        <v>0</v>
      </c>
      <c r="CS283" s="89" t="s">
        <v>605</v>
      </c>
      <c r="CT283" s="98">
        <v>0.1</v>
      </c>
      <c r="CU283" s="98">
        <v>1</v>
      </c>
      <c r="CV283" s="97" t="s">
        <v>454</v>
      </c>
      <c r="CW283" s="41"/>
      <c r="CX283" s="39"/>
      <c r="CY283" s="39"/>
      <c r="CZ283" s="41"/>
      <c r="DA283" s="41"/>
      <c r="DB283" s="41"/>
      <c r="DC283" s="41"/>
      <c r="DD283" s="39"/>
      <c r="DE283" s="39"/>
      <c r="DF283" s="41"/>
      <c r="DG283" s="41"/>
      <c r="DH283" s="41"/>
      <c r="DI283" s="42"/>
      <c r="DJ283" s="43">
        <v>0.4</v>
      </c>
      <c r="DK283" s="43">
        <v>0.35</v>
      </c>
    </row>
    <row r="284" spans="24:115" s="30" customFormat="1" ht="29.65" thickBot="1">
      <c r="X284" s="67"/>
      <c r="AB284" s="68"/>
      <c r="AD284" s="71"/>
      <c r="AE284" s="71"/>
      <c r="AG284" s="71"/>
      <c r="AH284" s="73"/>
      <c r="AJ284" s="74"/>
      <c r="AL284" s="78"/>
      <c r="AM284" s="78"/>
      <c r="AO284" s="71"/>
      <c r="AR284" s="74"/>
      <c r="AW284" s="71"/>
      <c r="AZ284" s="74"/>
      <c r="BB284" s="71"/>
      <c r="BD284" s="71"/>
      <c r="BG284" s="74"/>
      <c r="BI284" s="71"/>
      <c r="BK284" s="71"/>
      <c r="BN284" s="74"/>
      <c r="BP284" s="71"/>
      <c r="BQ284" s="71"/>
      <c r="BS284" s="71"/>
      <c r="BV284" s="74"/>
      <c r="BX284" s="71"/>
      <c r="BZ284" s="71"/>
      <c r="CC284" s="110" t="s">
        <v>571</v>
      </c>
      <c r="CD284" s="111" t="s">
        <v>619</v>
      </c>
      <c r="CE284" s="92" t="s">
        <v>573</v>
      </c>
      <c r="CF284" s="96">
        <v>0</v>
      </c>
      <c r="CG284" s="92" t="s">
        <v>574</v>
      </c>
      <c r="CH284" s="98">
        <v>0.1</v>
      </c>
      <c r="CI284" s="98">
        <v>1</v>
      </c>
      <c r="CJ284" s="97" t="s">
        <v>454</v>
      </c>
      <c r="CK284" s="92" t="s">
        <v>603</v>
      </c>
      <c r="CL284" s="96">
        <f t="shared" ref="CL284:CL286" si="334">900/1000000</f>
        <v>8.9999999999999998E-4</v>
      </c>
      <c r="CM284" s="89" t="s">
        <v>604</v>
      </c>
      <c r="CN284" s="98">
        <v>0.1</v>
      </c>
      <c r="CO284" s="98">
        <v>1</v>
      </c>
      <c r="CP284" s="97" t="s">
        <v>442</v>
      </c>
      <c r="CQ284" s="97" t="s">
        <v>454</v>
      </c>
      <c r="CR284" s="139">
        <f>CR283</f>
        <v>0</v>
      </c>
      <c r="CS284" s="89" t="s">
        <v>605</v>
      </c>
      <c r="CT284" s="98">
        <v>0.1</v>
      </c>
      <c r="CU284" s="98">
        <v>1</v>
      </c>
      <c r="CV284" s="97" t="s">
        <v>454</v>
      </c>
      <c r="CW284" s="41"/>
      <c r="CX284" s="39"/>
      <c r="CY284" s="39"/>
      <c r="CZ284" s="41"/>
      <c r="DA284" s="41"/>
      <c r="DB284" s="41"/>
      <c r="DC284" s="41"/>
      <c r="DD284" s="39"/>
      <c r="DE284" s="39"/>
      <c r="DF284" s="41"/>
      <c r="DG284" s="41"/>
      <c r="DH284" s="41"/>
      <c r="DI284" s="42"/>
      <c r="DJ284" s="43">
        <v>0.4</v>
      </c>
      <c r="DK284" s="43">
        <v>0.35</v>
      </c>
    </row>
    <row r="285" spans="24:115" s="30" customFormat="1" ht="29.65" thickBot="1">
      <c r="X285" s="67"/>
      <c r="AB285" s="68"/>
      <c r="AD285" s="71"/>
      <c r="AE285" s="71"/>
      <c r="AG285" s="71"/>
      <c r="AH285" s="73"/>
      <c r="AJ285" s="74"/>
      <c r="AL285" s="78"/>
      <c r="AM285" s="78"/>
      <c r="AO285" s="71"/>
      <c r="AR285" s="74"/>
      <c r="AW285" s="71"/>
      <c r="AZ285" s="74"/>
      <c r="BB285" s="71"/>
      <c r="BD285" s="71"/>
      <c r="BG285" s="74"/>
      <c r="BI285" s="71"/>
      <c r="BK285" s="71"/>
      <c r="BN285" s="74"/>
      <c r="BP285" s="71"/>
      <c r="BQ285" s="71"/>
      <c r="BS285" s="71"/>
      <c r="BV285" s="74"/>
      <c r="BX285" s="71"/>
      <c r="BZ285" s="71"/>
      <c r="CC285" s="110" t="s">
        <v>571</v>
      </c>
      <c r="CD285" s="111" t="s">
        <v>620</v>
      </c>
      <c r="CE285" s="92" t="s">
        <v>573</v>
      </c>
      <c r="CF285" s="96">
        <f>60/1000000</f>
        <v>6.0000000000000002E-5</v>
      </c>
      <c r="CG285" s="92" t="s">
        <v>574</v>
      </c>
      <c r="CH285" s="98">
        <v>0.1</v>
      </c>
      <c r="CI285" s="98">
        <v>1</v>
      </c>
      <c r="CJ285" s="97" t="s">
        <v>454</v>
      </c>
      <c r="CK285" s="92" t="s">
        <v>603</v>
      </c>
      <c r="CL285" s="96">
        <f t="shared" si="334"/>
        <v>8.9999999999999998E-4</v>
      </c>
      <c r="CM285" s="89" t="s">
        <v>604</v>
      </c>
      <c r="CN285" s="98">
        <v>0.1</v>
      </c>
      <c r="CO285" s="98">
        <v>1</v>
      </c>
      <c r="CP285" s="97" t="s">
        <v>442</v>
      </c>
      <c r="CQ285" s="97" t="s">
        <v>454</v>
      </c>
      <c r="CR285" s="139">
        <f>CR284</f>
        <v>0</v>
      </c>
      <c r="CS285" s="89" t="s">
        <v>605</v>
      </c>
      <c r="CT285" s="98">
        <v>0.1</v>
      </c>
      <c r="CU285" s="98">
        <v>1</v>
      </c>
      <c r="CV285" s="97" t="s">
        <v>454</v>
      </c>
      <c r="CW285" s="41"/>
      <c r="CX285" s="39"/>
      <c r="CY285" s="39"/>
      <c r="CZ285" s="41"/>
      <c r="DA285" s="41"/>
      <c r="DB285" s="41"/>
      <c r="DC285" s="41"/>
      <c r="DD285" s="39"/>
      <c r="DE285" s="39"/>
      <c r="DF285" s="41"/>
      <c r="DG285" s="41"/>
      <c r="DH285" s="41"/>
      <c r="DI285" s="42"/>
      <c r="DJ285" s="43">
        <v>0.4</v>
      </c>
      <c r="DK285" s="43">
        <v>0.35</v>
      </c>
    </row>
    <row r="286" spans="24:115" s="30" customFormat="1" ht="29.65" thickBot="1">
      <c r="X286" s="67"/>
      <c r="AB286" s="68"/>
      <c r="AD286" s="71"/>
      <c r="AE286" s="71"/>
      <c r="AG286" s="71"/>
      <c r="AH286" s="73"/>
      <c r="AJ286" s="74"/>
      <c r="AL286" s="78"/>
      <c r="AM286" s="78"/>
      <c r="AO286" s="71"/>
      <c r="AR286" s="74"/>
      <c r="AW286" s="71"/>
      <c r="AZ286" s="74"/>
      <c r="BB286" s="71"/>
      <c r="BD286" s="71"/>
      <c r="BG286" s="74"/>
      <c r="BI286" s="71"/>
      <c r="BK286" s="71"/>
      <c r="BN286" s="74"/>
      <c r="BP286" s="71"/>
      <c r="BQ286" s="71"/>
      <c r="BS286" s="71"/>
      <c r="BV286" s="74"/>
      <c r="BX286" s="71"/>
      <c r="BZ286" s="71"/>
      <c r="CC286" s="110" t="s">
        <v>571</v>
      </c>
      <c r="CD286" s="111" t="s">
        <v>621</v>
      </c>
      <c r="CE286" s="92" t="s">
        <v>573</v>
      </c>
      <c r="CF286" s="96">
        <f>237/1000000</f>
        <v>2.3699999999999999E-4</v>
      </c>
      <c r="CG286" s="92" t="s">
        <v>574</v>
      </c>
      <c r="CH286" s="98">
        <v>0.1</v>
      </c>
      <c r="CI286" s="98">
        <v>1</v>
      </c>
      <c r="CJ286" s="97" t="s">
        <v>454</v>
      </c>
      <c r="CK286" s="92" t="s">
        <v>603</v>
      </c>
      <c r="CL286" s="96">
        <f t="shared" si="334"/>
        <v>8.9999999999999998E-4</v>
      </c>
      <c r="CM286" s="89" t="s">
        <v>604</v>
      </c>
      <c r="CN286" s="98">
        <v>0.1</v>
      </c>
      <c r="CO286" s="98">
        <v>1</v>
      </c>
      <c r="CP286" s="97" t="s">
        <v>442</v>
      </c>
      <c r="CQ286" s="97" t="s">
        <v>454</v>
      </c>
      <c r="CR286" s="139">
        <f>CR285</f>
        <v>0</v>
      </c>
      <c r="CS286" s="89" t="s">
        <v>605</v>
      </c>
      <c r="CT286" s="98">
        <v>0.1</v>
      </c>
      <c r="CU286" s="98">
        <v>1</v>
      </c>
      <c r="CV286" s="97" t="s">
        <v>454</v>
      </c>
      <c r="CW286" s="41"/>
      <c r="CX286" s="39"/>
      <c r="CY286" s="39"/>
      <c r="CZ286" s="41"/>
      <c r="DA286" s="41"/>
      <c r="DB286" s="41"/>
      <c r="DC286" s="41"/>
      <c r="DD286" s="39"/>
      <c r="DE286" s="39"/>
      <c r="DF286" s="41"/>
      <c r="DG286" s="41"/>
      <c r="DH286" s="41"/>
      <c r="DI286" s="42"/>
      <c r="DJ286" s="43">
        <v>0.4</v>
      </c>
      <c r="DK286" s="43">
        <v>0.35</v>
      </c>
    </row>
    <row r="287" spans="24:115" s="30" customFormat="1" ht="29.65" thickBot="1">
      <c r="X287" s="67"/>
      <c r="AB287" s="68"/>
      <c r="AD287" s="71"/>
      <c r="AE287" s="71"/>
      <c r="AG287" s="71"/>
      <c r="AH287" s="73"/>
      <c r="AJ287" s="74"/>
      <c r="AL287" s="78"/>
      <c r="AM287" s="78"/>
      <c r="AO287" s="71"/>
      <c r="AR287" s="74"/>
      <c r="AW287" s="71"/>
      <c r="AZ287" s="74"/>
      <c r="BB287" s="71"/>
      <c r="BD287" s="71"/>
      <c r="BG287" s="74"/>
      <c r="BI287" s="71"/>
      <c r="BK287" s="71"/>
      <c r="BN287" s="74"/>
      <c r="BP287" s="71"/>
      <c r="BQ287" s="71"/>
      <c r="BS287" s="71"/>
      <c r="BV287" s="74"/>
      <c r="BX287" s="71"/>
      <c r="BZ287" s="71"/>
      <c r="CC287" s="110" t="s">
        <v>571</v>
      </c>
      <c r="CD287" s="111" t="s">
        <v>622</v>
      </c>
      <c r="CE287" s="92" t="s">
        <v>573</v>
      </c>
      <c r="CF287" s="96">
        <f>0.2/1000000</f>
        <v>2.0000000000000002E-7</v>
      </c>
      <c r="CG287" s="92" t="s">
        <v>574</v>
      </c>
      <c r="CH287" s="98">
        <v>0.1</v>
      </c>
      <c r="CI287" s="98">
        <v>1</v>
      </c>
      <c r="CJ287" s="97" t="s">
        <v>454</v>
      </c>
      <c r="CK287" s="92" t="s">
        <v>603</v>
      </c>
      <c r="CL287" s="96">
        <f>47/1000000</f>
        <v>4.6999999999999997E-5</v>
      </c>
      <c r="CM287" s="89" t="s">
        <v>604</v>
      </c>
      <c r="CN287" s="98">
        <v>0.1</v>
      </c>
      <c r="CO287" s="98">
        <v>1</v>
      </c>
      <c r="CP287" s="97" t="s">
        <v>442</v>
      </c>
      <c r="CQ287" s="97" t="s">
        <v>454</v>
      </c>
      <c r="CR287" s="139">
        <f>AS260</f>
        <v>2.9333333333333336</v>
      </c>
      <c r="CS287" s="89" t="s">
        <v>605</v>
      </c>
      <c r="CT287" s="98">
        <v>0.1</v>
      </c>
      <c r="CU287" s="98">
        <v>1</v>
      </c>
      <c r="CV287" s="97" t="s">
        <v>454</v>
      </c>
      <c r="CW287" s="41"/>
      <c r="CX287" s="39"/>
      <c r="CY287" s="39"/>
      <c r="CZ287" s="41"/>
      <c r="DA287" s="41"/>
      <c r="DB287" s="41"/>
      <c r="DC287" s="41"/>
      <c r="DD287" s="39"/>
      <c r="DE287" s="39"/>
      <c r="DF287" s="41"/>
      <c r="DG287" s="41"/>
      <c r="DH287" s="41"/>
      <c r="DI287" s="42"/>
      <c r="DJ287" s="43">
        <v>0.4</v>
      </c>
      <c r="DK287" s="43">
        <v>0.35</v>
      </c>
    </row>
    <row r="288" spans="24:115" s="30" customFormat="1" ht="29.65" thickBot="1">
      <c r="X288" s="67"/>
      <c r="AB288" s="68"/>
      <c r="AD288" s="71"/>
      <c r="AE288" s="71"/>
      <c r="AG288" s="71"/>
      <c r="AH288" s="73"/>
      <c r="AJ288" s="74"/>
      <c r="AL288" s="78"/>
      <c r="AM288" s="78"/>
      <c r="AO288" s="71"/>
      <c r="AR288" s="74"/>
      <c r="AW288" s="71"/>
      <c r="AZ288" s="74"/>
      <c r="BB288" s="71"/>
      <c r="BD288" s="71"/>
      <c r="BG288" s="74"/>
      <c r="BI288" s="71"/>
      <c r="BK288" s="71"/>
      <c r="BN288" s="74"/>
      <c r="BP288" s="71"/>
      <c r="BQ288" s="71"/>
      <c r="BS288" s="71"/>
      <c r="BV288" s="74"/>
      <c r="BX288" s="71"/>
      <c r="BZ288" s="71"/>
      <c r="CC288" s="110" t="s">
        <v>571</v>
      </c>
      <c r="CD288" s="111" t="s">
        <v>623</v>
      </c>
      <c r="CE288" s="92" t="s">
        <v>573</v>
      </c>
      <c r="CF288" s="96">
        <v>0</v>
      </c>
      <c r="CG288" s="92" t="s">
        <v>574</v>
      </c>
      <c r="CH288" s="98">
        <v>0.1</v>
      </c>
      <c r="CI288" s="98">
        <v>1</v>
      </c>
      <c r="CJ288" s="97" t="s">
        <v>454</v>
      </c>
      <c r="CK288" s="92" t="s">
        <v>603</v>
      </c>
      <c r="CL288" s="96">
        <f>67/1000000</f>
        <v>6.7000000000000002E-5</v>
      </c>
      <c r="CM288" s="89" t="s">
        <v>604</v>
      </c>
      <c r="CN288" s="98">
        <v>0.1</v>
      </c>
      <c r="CO288" s="98">
        <v>1</v>
      </c>
      <c r="CP288" s="97" t="s">
        <v>442</v>
      </c>
      <c r="CQ288" s="97" t="s">
        <v>454</v>
      </c>
      <c r="CR288" s="139">
        <f>CR287</f>
        <v>2.9333333333333336</v>
      </c>
      <c r="CS288" s="89" t="s">
        <v>605</v>
      </c>
      <c r="CT288" s="98">
        <v>0.1</v>
      </c>
      <c r="CU288" s="98">
        <v>1</v>
      </c>
      <c r="CV288" s="97" t="s">
        <v>454</v>
      </c>
      <c r="CW288" s="41"/>
      <c r="CX288" s="39"/>
      <c r="CY288" s="39"/>
      <c r="CZ288" s="41"/>
      <c r="DA288" s="41"/>
      <c r="DB288" s="41"/>
      <c r="DC288" s="41"/>
      <c r="DD288" s="39"/>
      <c r="DE288" s="39"/>
      <c r="DF288" s="41"/>
      <c r="DG288" s="41"/>
      <c r="DH288" s="41"/>
      <c r="DI288" s="42"/>
      <c r="DJ288" s="43">
        <v>0.4</v>
      </c>
      <c r="DK288" s="43">
        <v>0.35</v>
      </c>
    </row>
    <row r="289" spans="24:128" s="30" customFormat="1" ht="29.65" thickBot="1">
      <c r="X289" s="67"/>
      <c r="AB289" s="68"/>
      <c r="AD289" s="71"/>
      <c r="AE289" s="71"/>
      <c r="AG289" s="71"/>
      <c r="AH289" s="73"/>
      <c r="AJ289" s="74"/>
      <c r="AL289" s="78"/>
      <c r="AM289" s="78"/>
      <c r="AO289" s="71"/>
      <c r="AR289" s="74"/>
      <c r="AW289" s="71"/>
      <c r="AZ289" s="74"/>
      <c r="BB289" s="71"/>
      <c r="BD289" s="71"/>
      <c r="BG289" s="74"/>
      <c r="BI289" s="71"/>
      <c r="BK289" s="71"/>
      <c r="BN289" s="74"/>
      <c r="BP289" s="71"/>
      <c r="BQ289" s="71"/>
      <c r="BS289" s="71"/>
      <c r="BV289" s="74"/>
      <c r="BX289" s="71"/>
      <c r="BZ289" s="71"/>
      <c r="CC289" s="110" t="s">
        <v>571</v>
      </c>
      <c r="CD289" s="111" t="s">
        <v>624</v>
      </c>
      <c r="CE289" s="92" t="s">
        <v>573</v>
      </c>
      <c r="CF289" s="96">
        <f>60/1000000</f>
        <v>6.0000000000000002E-5</v>
      </c>
      <c r="CG289" s="92" t="s">
        <v>574</v>
      </c>
      <c r="CH289" s="98">
        <v>0.1</v>
      </c>
      <c r="CI289" s="98">
        <v>1</v>
      </c>
      <c r="CJ289" s="97" t="s">
        <v>454</v>
      </c>
      <c r="CK289" s="92" t="s">
        <v>603</v>
      </c>
      <c r="CL289" s="96">
        <f>56/1000000</f>
        <v>5.5999999999999999E-5</v>
      </c>
      <c r="CM289" s="89" t="s">
        <v>604</v>
      </c>
      <c r="CN289" s="98">
        <v>0.1</v>
      </c>
      <c r="CO289" s="98">
        <v>1</v>
      </c>
      <c r="CP289" s="97" t="s">
        <v>442</v>
      </c>
      <c r="CQ289" s="97" t="s">
        <v>454</v>
      </c>
      <c r="CR289" s="139">
        <f>CR288</f>
        <v>2.9333333333333336</v>
      </c>
      <c r="CS289" s="89" t="s">
        <v>605</v>
      </c>
      <c r="CT289" s="98">
        <v>0.1</v>
      </c>
      <c r="CU289" s="98">
        <v>1</v>
      </c>
      <c r="CV289" s="97" t="s">
        <v>454</v>
      </c>
      <c r="CW289" s="41"/>
      <c r="CX289" s="39"/>
      <c r="CY289" s="39"/>
      <c r="CZ289" s="41"/>
      <c r="DA289" s="41"/>
      <c r="DB289" s="41"/>
      <c r="DC289" s="41"/>
      <c r="DD289" s="39"/>
      <c r="DE289" s="39"/>
      <c r="DF289" s="41"/>
      <c r="DG289" s="41"/>
      <c r="DH289" s="41"/>
      <c r="DI289" s="42"/>
      <c r="DJ289" s="43">
        <v>0.4</v>
      </c>
      <c r="DK289" s="43">
        <v>0.35</v>
      </c>
    </row>
    <row r="290" spans="24:128" s="30" customFormat="1" ht="29.65" thickBot="1">
      <c r="X290" s="67"/>
      <c r="AB290" s="68"/>
      <c r="AD290" s="71"/>
      <c r="AE290" s="71"/>
      <c r="AG290" s="71"/>
      <c r="AH290" s="73"/>
      <c r="AJ290" s="74"/>
      <c r="AL290" s="78"/>
      <c r="AM290" s="78"/>
      <c r="AO290" s="71"/>
      <c r="AR290" s="74"/>
      <c r="AW290" s="71"/>
      <c r="AZ290" s="74"/>
      <c r="BB290" s="71"/>
      <c r="BD290" s="71"/>
      <c r="BG290" s="74"/>
      <c r="BI290" s="71"/>
      <c r="BK290" s="71"/>
      <c r="BN290" s="74"/>
      <c r="BP290" s="71"/>
      <c r="BQ290" s="71"/>
      <c r="BS290" s="71"/>
      <c r="BV290" s="74"/>
      <c r="BX290" s="71"/>
      <c r="BZ290" s="71"/>
      <c r="CC290" s="110" t="s">
        <v>571</v>
      </c>
      <c r="CD290" s="111" t="s">
        <v>625</v>
      </c>
      <c r="CE290" s="92" t="s">
        <v>573</v>
      </c>
      <c r="CF290" s="96">
        <f>237/1000000</f>
        <v>2.3699999999999999E-4</v>
      </c>
      <c r="CG290" s="92" t="s">
        <v>574</v>
      </c>
      <c r="CH290" s="98">
        <v>0.1</v>
      </c>
      <c r="CI290" s="98">
        <v>1</v>
      </c>
      <c r="CJ290" s="97" t="s">
        <v>454</v>
      </c>
      <c r="CK290" s="92" t="s">
        <v>603</v>
      </c>
      <c r="CL290" s="96">
        <f>221/1000000</f>
        <v>2.2100000000000001E-4</v>
      </c>
      <c r="CM290" s="89" t="s">
        <v>604</v>
      </c>
      <c r="CN290" s="98">
        <v>0.1</v>
      </c>
      <c r="CO290" s="98">
        <v>1</v>
      </c>
      <c r="CP290" s="97" t="s">
        <v>442</v>
      </c>
      <c r="CQ290" s="97" t="s">
        <v>454</v>
      </c>
      <c r="CR290" s="139">
        <f>CR289</f>
        <v>2.9333333333333336</v>
      </c>
      <c r="CS290" s="89" t="s">
        <v>605</v>
      </c>
      <c r="CT290" s="98">
        <v>0.1</v>
      </c>
      <c r="CU290" s="98">
        <v>1</v>
      </c>
      <c r="CV290" s="97" t="s">
        <v>454</v>
      </c>
      <c r="CW290" s="41"/>
      <c r="CX290" s="39"/>
      <c r="CY290" s="39"/>
      <c r="CZ290" s="41"/>
      <c r="DA290" s="41"/>
      <c r="DB290" s="41"/>
      <c r="DC290" s="41"/>
      <c r="DD290" s="39"/>
      <c r="DE290" s="39"/>
      <c r="DF290" s="41"/>
      <c r="DG290" s="41"/>
      <c r="DH290" s="41"/>
      <c r="DI290" s="42"/>
      <c r="DJ290" s="43">
        <v>0.4</v>
      </c>
      <c r="DK290" s="43">
        <v>0.35</v>
      </c>
    </row>
    <row r="291" spans="24:128" s="30" customFormat="1">
      <c r="X291" s="67"/>
      <c r="AB291" s="68"/>
      <c r="CC291" s="38"/>
      <c r="CD291" s="29"/>
      <c r="CE291" s="39"/>
      <c r="CF291" s="39"/>
      <c r="CG291" s="39"/>
      <c r="CH291" s="40"/>
      <c r="CI291" s="40"/>
      <c r="CJ291" s="40"/>
      <c r="CK291" s="39"/>
      <c r="CL291" s="39"/>
      <c r="CM291" s="39"/>
      <c r="CN291" s="39"/>
      <c r="CO291" s="39"/>
      <c r="CP291" s="39"/>
      <c r="CQ291" s="41"/>
      <c r="CR291" s="39"/>
      <c r="CS291" s="39"/>
      <c r="CT291" s="41"/>
      <c r="CU291" s="41"/>
      <c r="CV291" s="41"/>
      <c r="CW291" s="41"/>
      <c r="CX291" s="39"/>
      <c r="CY291" s="39"/>
      <c r="CZ291" s="41"/>
      <c r="DA291" s="41"/>
      <c r="DB291" s="41"/>
      <c r="DC291" s="41"/>
      <c r="DD291" s="39"/>
      <c r="DE291" s="39"/>
      <c r="DF291" s="41"/>
      <c r="DG291" s="41"/>
      <c r="DH291" s="41"/>
      <c r="DI291" s="42"/>
      <c r="DJ291" s="43"/>
      <c r="DK291" s="43">
        <f t="shared" si="305"/>
        <v>0</v>
      </c>
    </row>
    <row r="292" spans="24:128" s="30" customFormat="1" ht="16.149999999999999" thickBot="1">
      <c r="X292" s="67"/>
      <c r="AB292" s="68"/>
      <c r="CC292" s="38"/>
      <c r="CD292" s="29"/>
      <c r="CE292" s="39"/>
      <c r="CF292" s="39"/>
      <c r="CG292" s="39"/>
      <c r="CH292" s="40"/>
      <c r="CI292" s="40"/>
      <c r="CJ292" s="40"/>
      <c r="CK292" s="39"/>
      <c r="CL292" s="39"/>
      <c r="CM292" s="39"/>
      <c r="CN292" s="39"/>
      <c r="CO292" s="39"/>
      <c r="CP292" s="39"/>
      <c r="CQ292" s="41"/>
      <c r="CR292" s="39"/>
      <c r="CS292" s="39"/>
      <c r="CT292" s="41"/>
      <c r="CU292" s="41"/>
      <c r="CV292" s="41"/>
      <c r="CW292" s="29"/>
      <c r="CX292" s="29"/>
      <c r="CY292" s="29"/>
      <c r="CZ292" s="29"/>
      <c r="DA292" s="29"/>
      <c r="DB292" s="29"/>
      <c r="DC292" s="29"/>
      <c r="DD292" s="29"/>
      <c r="DE292" s="29"/>
      <c r="DF292" s="29"/>
      <c r="DG292" s="29"/>
      <c r="DH292" s="29"/>
      <c r="DJ292" s="43"/>
      <c r="DK292" s="43">
        <f t="shared" si="305"/>
        <v>0</v>
      </c>
      <c r="DU292" s="42" t="s">
        <v>626</v>
      </c>
      <c r="DV292" s="42" t="s">
        <v>627</v>
      </c>
      <c r="DX292" s="42" t="s">
        <v>628</v>
      </c>
    </row>
    <row r="293" spans="24:128" s="30" customFormat="1" ht="33" customHeight="1">
      <c r="X293" s="67"/>
      <c r="AB293" s="68"/>
      <c r="CC293" s="38"/>
      <c r="CD293" s="710" t="s">
        <v>629</v>
      </c>
      <c r="CE293" s="710" t="s">
        <v>193</v>
      </c>
      <c r="CF293" s="710" t="s">
        <v>630</v>
      </c>
      <c r="CG293" s="85"/>
      <c r="CH293" s="710" t="s">
        <v>181</v>
      </c>
      <c r="CI293" s="710" t="s">
        <v>181</v>
      </c>
      <c r="CJ293" s="710" t="s">
        <v>182</v>
      </c>
      <c r="CK293" s="39"/>
      <c r="CL293" s="39"/>
      <c r="CM293" s="39"/>
      <c r="CN293" s="39"/>
      <c r="CO293" s="39"/>
      <c r="CP293" s="39"/>
      <c r="CQ293" s="41"/>
      <c r="CR293" s="39"/>
      <c r="CS293" s="39"/>
      <c r="CT293" s="41"/>
      <c r="CU293" s="41"/>
      <c r="CV293" s="41"/>
      <c r="CW293" s="29"/>
      <c r="CX293" s="29"/>
      <c r="CY293" s="29"/>
      <c r="CZ293" s="29"/>
      <c r="DA293" s="29"/>
      <c r="DB293" s="29"/>
      <c r="DC293" s="29"/>
      <c r="DD293" s="29"/>
      <c r="DE293" s="29"/>
      <c r="DF293" s="29"/>
      <c r="DG293" s="29"/>
      <c r="DH293" s="29"/>
      <c r="DJ293" s="43"/>
      <c r="DK293" s="43" t="str">
        <f t="shared" si="305"/>
        <v>Incertidumbre (+/- %)</v>
      </c>
      <c r="DS293" s="30">
        <v>0</v>
      </c>
      <c r="DU293" s="42" t="s">
        <v>631</v>
      </c>
      <c r="DV293" s="42" t="s">
        <v>632</v>
      </c>
      <c r="DX293" s="42" t="s">
        <v>632</v>
      </c>
    </row>
    <row r="294" spans="24:128" s="30" customFormat="1" ht="14.65" thickBot="1">
      <c r="X294" s="67"/>
      <c r="AB294" s="68"/>
      <c r="CC294" s="38"/>
      <c r="CD294" s="711"/>
      <c r="CE294" s="711"/>
      <c r="CF294" s="711"/>
      <c r="CG294" s="87" t="s">
        <v>194</v>
      </c>
      <c r="CH294" s="711"/>
      <c r="CI294" s="711"/>
      <c r="CJ294" s="711"/>
      <c r="CK294" s="39"/>
      <c r="CL294" s="39"/>
      <c r="CM294" s="39"/>
      <c r="CN294" s="39"/>
      <c r="CO294" s="39"/>
      <c r="CP294" s="39"/>
      <c r="CQ294" s="41"/>
      <c r="CR294" s="39"/>
      <c r="CS294" s="39"/>
      <c r="CT294" s="41"/>
      <c r="CU294" s="41"/>
      <c r="CV294" s="41"/>
      <c r="CW294" s="29"/>
      <c r="CX294" s="29"/>
      <c r="CY294" s="29"/>
      <c r="CZ294" s="29"/>
      <c r="DA294" s="29"/>
      <c r="DB294" s="29"/>
      <c r="DC294" s="29"/>
      <c r="DD294" s="29"/>
      <c r="DE294" s="29"/>
      <c r="DF294" s="29"/>
      <c r="DG294" s="29"/>
      <c r="DH294" s="29"/>
      <c r="DJ294" s="43"/>
      <c r="DK294" s="43">
        <f t="shared" si="305"/>
        <v>0</v>
      </c>
      <c r="DS294" s="30">
        <v>0</v>
      </c>
      <c r="DU294" s="42">
        <v>0</v>
      </c>
      <c r="DV294" s="42">
        <v>0</v>
      </c>
      <c r="DX294" s="42">
        <v>0</v>
      </c>
    </row>
    <row r="295" spans="24:128" s="30" customFormat="1" ht="39" customHeight="1" thickBot="1">
      <c r="X295" s="67"/>
      <c r="AB295" s="68"/>
      <c r="CC295" s="110" t="s">
        <v>633</v>
      </c>
      <c r="CD295" s="111" t="s">
        <v>634</v>
      </c>
      <c r="CE295" s="92" t="s">
        <v>635</v>
      </c>
      <c r="CF295" s="136">
        <v>87</v>
      </c>
      <c r="CG295" s="92" t="s">
        <v>636</v>
      </c>
      <c r="CH295" s="98">
        <v>0.3</v>
      </c>
      <c r="CI295" s="98">
        <v>0.5</v>
      </c>
      <c r="CJ295" s="97" t="s">
        <v>494</v>
      </c>
      <c r="CK295" s="39"/>
      <c r="CL295" s="96">
        <v>1425</v>
      </c>
      <c r="CM295" s="92" t="s">
        <v>632</v>
      </c>
      <c r="CN295" s="39"/>
      <c r="CO295" s="39"/>
      <c r="CP295" s="39"/>
      <c r="CQ295" s="41"/>
      <c r="CR295" s="39"/>
      <c r="CS295" s="39"/>
      <c r="CT295" s="41"/>
      <c r="CU295" s="41"/>
      <c r="CV295" s="41"/>
      <c r="CW295" s="29"/>
      <c r="CX295" s="29"/>
      <c r="CY295" s="29"/>
      <c r="CZ295" s="29"/>
      <c r="DA295" s="29"/>
      <c r="DB295" s="29"/>
      <c r="DC295" s="29"/>
      <c r="DD295" s="29"/>
      <c r="DE295" s="29"/>
      <c r="DF295" s="29"/>
      <c r="DG295" s="29"/>
      <c r="DH295" s="29"/>
      <c r="DJ295" s="43">
        <v>0.2</v>
      </c>
      <c r="DK295" s="43">
        <v>0.1</v>
      </c>
      <c r="DR295" s="30" t="s">
        <v>633</v>
      </c>
      <c r="DS295" s="30" t="s">
        <v>634</v>
      </c>
      <c r="DT295" s="30" t="s">
        <v>635</v>
      </c>
      <c r="DU295" s="42">
        <v>57</v>
      </c>
      <c r="DV295" s="141">
        <f>+DU295*21</f>
        <v>1197</v>
      </c>
      <c r="DW295" s="42" t="s">
        <v>632</v>
      </c>
      <c r="DX295" s="42">
        <f t="shared" ref="DX295:DX304" si="335">+DU295*25</f>
        <v>1425</v>
      </c>
    </row>
    <row r="296" spans="24:128" s="30" customFormat="1" ht="39" customHeight="1" thickBot="1">
      <c r="X296" s="67"/>
      <c r="AB296" s="68"/>
      <c r="CC296" s="110"/>
      <c r="CD296" s="111" t="s">
        <v>637</v>
      </c>
      <c r="CE296" s="92" t="s">
        <v>635</v>
      </c>
      <c r="CF296" s="136">
        <v>56</v>
      </c>
      <c r="CG296" s="92" t="s">
        <v>636</v>
      </c>
      <c r="CH296" s="98">
        <v>0.3</v>
      </c>
      <c r="CI296" s="98">
        <v>0.5</v>
      </c>
      <c r="CJ296" s="97" t="s">
        <v>494</v>
      </c>
      <c r="CK296" s="39"/>
      <c r="CL296" s="96"/>
      <c r="CM296" s="92"/>
      <c r="CN296" s="39"/>
      <c r="CO296" s="39"/>
      <c r="CP296" s="39"/>
      <c r="CQ296" s="41"/>
      <c r="CR296" s="39"/>
      <c r="CS296" s="39"/>
      <c r="CT296" s="41"/>
      <c r="CU296" s="41"/>
      <c r="CV296" s="41"/>
      <c r="CW296" s="29"/>
      <c r="CX296" s="29"/>
      <c r="CY296" s="29"/>
      <c r="CZ296" s="29"/>
      <c r="DA296" s="29"/>
      <c r="DB296" s="29"/>
      <c r="DC296" s="29"/>
      <c r="DD296" s="29"/>
      <c r="DE296" s="29"/>
      <c r="DF296" s="29"/>
      <c r="DG296" s="29"/>
      <c r="DH296" s="29"/>
      <c r="DJ296" s="43"/>
      <c r="DK296" s="43">
        <v>0.1</v>
      </c>
      <c r="DU296" s="42"/>
      <c r="DV296" s="141"/>
      <c r="DW296" s="42"/>
      <c r="DX296" s="42"/>
    </row>
    <row r="297" spans="24:128" s="30" customFormat="1" ht="39" customHeight="1" thickBot="1">
      <c r="X297" s="67"/>
      <c r="AB297" s="68"/>
      <c r="CC297" s="110"/>
      <c r="CD297" s="111" t="s">
        <v>638</v>
      </c>
      <c r="CE297" s="92" t="s">
        <v>635</v>
      </c>
      <c r="CF297" s="136">
        <v>68</v>
      </c>
      <c r="CG297" s="92" t="s">
        <v>636</v>
      </c>
      <c r="CH297" s="98">
        <v>0.3</v>
      </c>
      <c r="CI297" s="98">
        <v>0.5</v>
      </c>
      <c r="CJ297" s="97" t="s">
        <v>494</v>
      </c>
      <c r="CK297" s="39"/>
      <c r="CL297" s="96"/>
      <c r="CM297" s="92"/>
      <c r="CN297" s="39"/>
      <c r="CO297" s="39"/>
      <c r="CP297" s="39"/>
      <c r="CQ297" s="41"/>
      <c r="CR297" s="39"/>
      <c r="CS297" s="39"/>
      <c r="CT297" s="41"/>
      <c r="CU297" s="41"/>
      <c r="CV297" s="41"/>
      <c r="CW297" s="29"/>
      <c r="CX297" s="29"/>
      <c r="CY297" s="29"/>
      <c r="CZ297" s="29"/>
      <c r="DA297" s="29"/>
      <c r="DB297" s="29"/>
      <c r="DC297" s="29"/>
      <c r="DD297" s="29"/>
      <c r="DE297" s="29"/>
      <c r="DF297" s="29"/>
      <c r="DG297" s="29"/>
      <c r="DH297" s="29"/>
      <c r="DJ297" s="43"/>
      <c r="DK297" s="43">
        <v>0.25</v>
      </c>
      <c r="DU297" s="42"/>
      <c r="DV297" s="141"/>
      <c r="DW297" s="42"/>
      <c r="DX297" s="42"/>
    </row>
    <row r="298" spans="24:128" s="30" customFormat="1" ht="15" customHeight="1" thickBot="1">
      <c r="X298" s="67"/>
      <c r="AB298" s="68"/>
      <c r="CC298" s="110"/>
      <c r="CD298" s="111" t="s">
        <v>639</v>
      </c>
      <c r="CE298" s="92" t="s">
        <v>635</v>
      </c>
      <c r="CF298" s="164">
        <v>5</v>
      </c>
      <c r="CG298" s="92" t="s">
        <v>636</v>
      </c>
      <c r="CH298" s="98">
        <v>0.3</v>
      </c>
      <c r="CI298" s="98">
        <v>0.5</v>
      </c>
      <c r="CJ298" s="97" t="s">
        <v>442</v>
      </c>
      <c r="CK298" s="39"/>
      <c r="CL298" s="96"/>
      <c r="CM298" s="92"/>
      <c r="CN298" s="39"/>
      <c r="CO298" s="39"/>
      <c r="CP298" s="39"/>
      <c r="CQ298" s="41"/>
      <c r="CR298" s="39"/>
      <c r="CS298" s="39"/>
      <c r="CT298" s="41"/>
      <c r="CU298" s="41"/>
      <c r="CV298" s="41"/>
      <c r="CW298" s="29"/>
      <c r="CX298" s="29"/>
      <c r="CY298" s="29"/>
      <c r="CZ298" s="29"/>
      <c r="DA298" s="29"/>
      <c r="DB298" s="29"/>
      <c r="DC298" s="29"/>
      <c r="DD298" s="29"/>
      <c r="DE298" s="29"/>
      <c r="DF298" s="29"/>
      <c r="DG298" s="29"/>
      <c r="DH298" s="29"/>
      <c r="DJ298" s="43"/>
      <c r="DK298" s="43">
        <v>0.25</v>
      </c>
      <c r="DU298" s="42"/>
      <c r="DV298" s="141"/>
      <c r="DW298" s="42"/>
      <c r="DX298" s="42"/>
    </row>
    <row r="299" spans="24:128" s="30" customFormat="1" ht="15" customHeight="1" thickBot="1">
      <c r="X299" s="67"/>
      <c r="AB299" s="68"/>
      <c r="CC299" s="110"/>
      <c r="CD299" s="111" t="s">
        <v>640</v>
      </c>
      <c r="CE299" s="92" t="s">
        <v>635</v>
      </c>
      <c r="CF299" s="164">
        <v>5</v>
      </c>
      <c r="CG299" s="92" t="s">
        <v>636</v>
      </c>
      <c r="CH299" s="98">
        <v>0.3</v>
      </c>
      <c r="CI299" s="98">
        <v>0.5</v>
      </c>
      <c r="CJ299" s="97" t="s">
        <v>442</v>
      </c>
      <c r="CK299" s="39"/>
      <c r="CL299" s="96"/>
      <c r="CM299" s="92"/>
      <c r="CN299" s="39"/>
      <c r="CO299" s="39"/>
      <c r="CP299" s="39"/>
      <c r="CQ299" s="41"/>
      <c r="CR299" s="39"/>
      <c r="CS299" s="39"/>
      <c r="CT299" s="41"/>
      <c r="CU299" s="41"/>
      <c r="CV299" s="41"/>
      <c r="CW299" s="29"/>
      <c r="CX299" s="29"/>
      <c r="CY299" s="29"/>
      <c r="CZ299" s="29"/>
      <c r="DA299" s="29"/>
      <c r="DB299" s="29"/>
      <c r="DC299" s="29"/>
      <c r="DD299" s="29"/>
      <c r="DE299" s="29"/>
      <c r="DF299" s="29"/>
      <c r="DG299" s="29"/>
      <c r="DH299" s="29"/>
      <c r="DJ299" s="43"/>
      <c r="DK299" s="43">
        <v>0.25</v>
      </c>
      <c r="DU299" s="42"/>
      <c r="DV299" s="141"/>
      <c r="DW299" s="42"/>
      <c r="DX299" s="42"/>
    </row>
    <row r="300" spans="24:128" s="30" customFormat="1" ht="15" customHeight="1" thickBot="1">
      <c r="X300" s="67"/>
      <c r="AB300" s="68"/>
      <c r="CC300" s="110"/>
      <c r="CD300" s="111" t="s">
        <v>641</v>
      </c>
      <c r="CE300" s="92" t="s">
        <v>635</v>
      </c>
      <c r="CF300" s="164">
        <v>18</v>
      </c>
      <c r="CG300" s="92" t="s">
        <v>636</v>
      </c>
      <c r="CH300" s="98">
        <v>0.3</v>
      </c>
      <c r="CI300" s="98">
        <v>0.5</v>
      </c>
      <c r="CJ300" s="97" t="s">
        <v>442</v>
      </c>
      <c r="CK300" s="39"/>
      <c r="CL300" s="96"/>
      <c r="CM300" s="92"/>
      <c r="CN300" s="39"/>
      <c r="CO300" s="39"/>
      <c r="CP300" s="39"/>
      <c r="CQ300" s="41"/>
      <c r="CR300" s="39"/>
      <c r="CS300" s="39"/>
      <c r="CT300" s="41"/>
      <c r="CU300" s="41"/>
      <c r="CV300" s="41"/>
      <c r="CW300" s="29"/>
      <c r="CX300" s="29"/>
      <c r="CY300" s="29"/>
      <c r="CZ300" s="29"/>
      <c r="DA300" s="29"/>
      <c r="DB300" s="29"/>
      <c r="DC300" s="29"/>
      <c r="DD300" s="29"/>
      <c r="DE300" s="29"/>
      <c r="DF300" s="29"/>
      <c r="DG300" s="29"/>
      <c r="DH300" s="29"/>
      <c r="DJ300" s="43"/>
      <c r="DK300" s="43">
        <v>0.25</v>
      </c>
      <c r="DU300" s="42"/>
      <c r="DV300" s="141"/>
      <c r="DW300" s="42"/>
      <c r="DX300" s="42"/>
    </row>
    <row r="301" spans="24:128" s="30" customFormat="1" ht="15" customHeight="1" thickBot="1">
      <c r="X301" s="67"/>
      <c r="AB301" s="68"/>
      <c r="AD301" s="71"/>
      <c r="AE301" s="71"/>
      <c r="AG301" s="71"/>
      <c r="AH301" s="73"/>
      <c r="AJ301" s="74"/>
      <c r="AL301" s="78"/>
      <c r="AM301" s="78"/>
      <c r="AO301" s="71"/>
      <c r="AR301" s="74"/>
      <c r="AW301" s="71"/>
      <c r="AZ301" s="74"/>
      <c r="BB301" s="71"/>
      <c r="BD301" s="71"/>
      <c r="BG301" s="74"/>
      <c r="BI301" s="71"/>
      <c r="BK301" s="71"/>
      <c r="BN301" s="74"/>
      <c r="BP301" s="71"/>
      <c r="BQ301" s="71"/>
      <c r="BS301" s="71"/>
      <c r="BV301" s="74"/>
      <c r="BX301" s="71"/>
      <c r="BZ301" s="71"/>
      <c r="CC301" s="110"/>
      <c r="CD301" s="111" t="s">
        <v>642</v>
      </c>
      <c r="CE301" s="92" t="s">
        <v>635</v>
      </c>
      <c r="CF301" s="164">
        <v>10</v>
      </c>
      <c r="CG301" s="92" t="s">
        <v>636</v>
      </c>
      <c r="CH301" s="98">
        <v>0.3</v>
      </c>
      <c r="CI301" s="98">
        <v>0.5</v>
      </c>
      <c r="CJ301" s="97" t="s">
        <v>442</v>
      </c>
      <c r="CK301" s="39"/>
      <c r="CL301" s="96"/>
      <c r="CM301" s="92"/>
      <c r="CN301" s="39"/>
      <c r="CO301" s="39"/>
      <c r="CP301" s="39"/>
      <c r="CQ301" s="41"/>
      <c r="CR301" s="39"/>
      <c r="CS301" s="39"/>
      <c r="CT301" s="41"/>
      <c r="CU301" s="41"/>
      <c r="CV301" s="41"/>
      <c r="CW301" s="29"/>
      <c r="CX301" s="29"/>
      <c r="CY301" s="29"/>
      <c r="CZ301" s="29"/>
      <c r="DA301" s="29"/>
      <c r="DB301" s="29"/>
      <c r="DC301" s="29"/>
      <c r="DD301" s="29"/>
      <c r="DE301" s="29"/>
      <c r="DF301" s="29"/>
      <c r="DG301" s="29"/>
      <c r="DH301" s="29"/>
      <c r="DJ301" s="43"/>
      <c r="DK301" s="43">
        <v>0.25</v>
      </c>
      <c r="DU301" s="42"/>
      <c r="DV301" s="141"/>
      <c r="DW301" s="42"/>
      <c r="DX301" s="42"/>
    </row>
    <row r="302" spans="24:128" s="30" customFormat="1" ht="15" customHeight="1" thickBot="1">
      <c r="X302" s="67"/>
      <c r="AB302" s="68"/>
      <c r="AD302" s="71"/>
      <c r="AE302" s="71"/>
      <c r="AG302" s="71"/>
      <c r="AH302" s="73"/>
      <c r="AJ302" s="74"/>
      <c r="AL302" s="78"/>
      <c r="AM302" s="78"/>
      <c r="AO302" s="71"/>
      <c r="AR302" s="74"/>
      <c r="AW302" s="71"/>
      <c r="AZ302" s="74"/>
      <c r="BB302" s="71"/>
      <c r="BD302" s="71"/>
      <c r="BG302" s="74"/>
      <c r="BI302" s="71"/>
      <c r="BK302" s="71"/>
      <c r="BN302" s="74"/>
      <c r="BP302" s="71"/>
      <c r="BQ302" s="71"/>
      <c r="BS302" s="71"/>
      <c r="BV302" s="74"/>
      <c r="BX302" s="71"/>
      <c r="BZ302" s="71"/>
      <c r="CC302" s="110"/>
      <c r="CD302" s="111" t="s">
        <v>643</v>
      </c>
      <c r="CE302" s="92" t="s">
        <v>635</v>
      </c>
      <c r="CF302" s="164">
        <v>1</v>
      </c>
      <c r="CG302" s="92" t="s">
        <v>636</v>
      </c>
      <c r="CH302" s="98">
        <v>0.3</v>
      </c>
      <c r="CI302" s="98">
        <v>0.5</v>
      </c>
      <c r="CJ302" s="97" t="s">
        <v>442</v>
      </c>
      <c r="CK302" s="39"/>
      <c r="CL302" s="96"/>
      <c r="CM302" s="92"/>
      <c r="CN302" s="39"/>
      <c r="CO302" s="39"/>
      <c r="CP302" s="39"/>
      <c r="CQ302" s="41"/>
      <c r="CR302" s="39"/>
      <c r="CS302" s="39"/>
      <c r="CT302" s="41"/>
      <c r="CU302" s="41"/>
      <c r="CV302" s="41"/>
      <c r="CW302" s="29"/>
      <c r="CX302" s="29"/>
      <c r="CY302" s="29"/>
      <c r="CZ302" s="29"/>
      <c r="DA302" s="29"/>
      <c r="DB302" s="29"/>
      <c r="DC302" s="29"/>
      <c r="DD302" s="29"/>
      <c r="DE302" s="29"/>
      <c r="DF302" s="29"/>
      <c r="DG302" s="29"/>
      <c r="DH302" s="29"/>
      <c r="DJ302" s="43"/>
      <c r="DK302" s="43">
        <v>0.1</v>
      </c>
      <c r="DU302" s="42"/>
      <c r="DV302" s="141"/>
      <c r="DW302" s="42"/>
      <c r="DX302" s="42"/>
    </row>
    <row r="303" spans="24:128" s="30" customFormat="1" ht="15" customHeight="1" thickBot="1">
      <c r="X303" s="67"/>
      <c r="AB303" s="68"/>
      <c r="AD303" s="71"/>
      <c r="AE303" s="71"/>
      <c r="AG303" s="71"/>
      <c r="AH303" s="73"/>
      <c r="AJ303" s="74"/>
      <c r="AL303" s="78"/>
      <c r="AM303" s="78"/>
      <c r="AO303" s="71"/>
      <c r="AR303" s="74"/>
      <c r="AW303" s="71"/>
      <c r="AZ303" s="74"/>
      <c r="BB303" s="71"/>
      <c r="BD303" s="71"/>
      <c r="BG303" s="74"/>
      <c r="BI303" s="71"/>
      <c r="BK303" s="71"/>
      <c r="BN303" s="74"/>
      <c r="BP303" s="71"/>
      <c r="BQ303" s="71"/>
      <c r="BS303" s="71"/>
      <c r="BV303" s="74"/>
      <c r="BX303" s="71"/>
      <c r="BZ303" s="71"/>
      <c r="CC303" s="110"/>
      <c r="CD303" s="111" t="s">
        <v>644</v>
      </c>
      <c r="CE303" s="92" t="s">
        <v>635</v>
      </c>
      <c r="CF303" s="96">
        <v>5.4199999999999998E-2</v>
      </c>
      <c r="CG303" s="92" t="s">
        <v>636</v>
      </c>
      <c r="CH303" s="98">
        <v>0.3</v>
      </c>
      <c r="CI303" s="98">
        <v>0.5</v>
      </c>
      <c r="CJ303" s="97" t="s">
        <v>442</v>
      </c>
      <c r="CK303" s="39"/>
      <c r="CL303" s="96">
        <v>1225</v>
      </c>
      <c r="CM303" s="92" t="s">
        <v>632</v>
      </c>
      <c r="CN303" s="39"/>
      <c r="CO303" s="39"/>
      <c r="CP303" s="39"/>
      <c r="CQ303" s="41"/>
      <c r="CR303" s="39"/>
      <c r="CS303" s="39"/>
      <c r="CT303" s="41"/>
      <c r="CU303" s="41"/>
      <c r="CV303" s="41"/>
      <c r="CW303" s="29"/>
      <c r="CX303" s="29"/>
      <c r="CY303" s="29"/>
      <c r="CZ303" s="29"/>
      <c r="DA303" s="29"/>
      <c r="DB303" s="29"/>
      <c r="DC303" s="29"/>
      <c r="DD303" s="29"/>
      <c r="DE303" s="29"/>
      <c r="DF303" s="29"/>
      <c r="DG303" s="29"/>
      <c r="DH303" s="29"/>
      <c r="DJ303" s="43">
        <v>0.2</v>
      </c>
      <c r="DK303" s="43">
        <v>0.25</v>
      </c>
      <c r="DS303" s="30" t="s">
        <v>637</v>
      </c>
      <c r="DT303" s="30" t="s">
        <v>635</v>
      </c>
      <c r="DU303" s="42">
        <v>49</v>
      </c>
      <c r="DV303" s="141">
        <f t="shared" ref="DV303:DV304" si="336">+DU303*21</f>
        <v>1029</v>
      </c>
      <c r="DW303" s="42" t="s">
        <v>632</v>
      </c>
      <c r="DX303" s="42">
        <f t="shared" si="335"/>
        <v>1225</v>
      </c>
    </row>
    <row r="304" spans="24:128" s="30" customFormat="1" ht="15" customHeight="1" thickBot="1">
      <c r="X304" s="67"/>
      <c r="AB304" s="68"/>
      <c r="AD304" s="71"/>
      <c r="AE304" s="71"/>
      <c r="AG304" s="71"/>
      <c r="AH304" s="73"/>
      <c r="AJ304" s="74"/>
      <c r="AL304" s="78"/>
      <c r="AM304" s="78"/>
      <c r="AO304" s="71"/>
      <c r="AR304" s="74"/>
      <c r="AW304" s="71"/>
      <c r="AZ304" s="74"/>
      <c r="BB304" s="71"/>
      <c r="BD304" s="71"/>
      <c r="BG304" s="74"/>
      <c r="BI304" s="71"/>
      <c r="BK304" s="71"/>
      <c r="BN304" s="74"/>
      <c r="BP304" s="71"/>
      <c r="BQ304" s="71"/>
      <c r="BS304" s="71"/>
      <c r="BV304" s="74"/>
      <c r="BX304" s="71"/>
      <c r="BZ304" s="71"/>
      <c r="CC304" s="110"/>
      <c r="CD304" s="111" t="s">
        <v>645</v>
      </c>
      <c r="CE304" s="92" t="s">
        <v>635</v>
      </c>
      <c r="CF304" s="96">
        <v>9.522E-5</v>
      </c>
      <c r="CG304" s="92" t="s">
        <v>636</v>
      </c>
      <c r="CH304" s="98">
        <v>0.3</v>
      </c>
      <c r="CI304" s="98">
        <v>0.5</v>
      </c>
      <c r="CJ304" s="97" t="s">
        <v>646</v>
      </c>
      <c r="CK304" s="39"/>
      <c r="CL304" s="96">
        <v>1375</v>
      </c>
      <c r="CM304" s="92" t="s">
        <v>632</v>
      </c>
      <c r="CN304" s="39"/>
      <c r="CO304" s="39"/>
      <c r="CP304" s="39"/>
      <c r="CQ304" s="41"/>
      <c r="CR304" s="39"/>
      <c r="CS304" s="39"/>
      <c r="CT304" s="41"/>
      <c r="CU304" s="41"/>
      <c r="CV304" s="41"/>
      <c r="CW304" s="29"/>
      <c r="CX304" s="29"/>
      <c r="CY304" s="29"/>
      <c r="CZ304" s="29"/>
      <c r="DA304" s="29"/>
      <c r="DB304" s="29"/>
      <c r="DC304" s="29"/>
      <c r="DD304" s="29"/>
      <c r="DE304" s="29"/>
      <c r="DF304" s="29"/>
      <c r="DG304" s="29"/>
      <c r="DH304" s="29"/>
      <c r="DJ304" s="43">
        <v>0.2</v>
      </c>
      <c r="DK304" s="43">
        <v>0.25</v>
      </c>
      <c r="DS304" s="30" t="s">
        <v>638</v>
      </c>
      <c r="DT304" s="30" t="s">
        <v>635</v>
      </c>
      <c r="DU304" s="42">
        <v>55</v>
      </c>
      <c r="DV304" s="141">
        <f t="shared" si="336"/>
        <v>1155</v>
      </c>
      <c r="DW304" s="42" t="s">
        <v>632</v>
      </c>
      <c r="DX304" s="42">
        <f t="shared" si="335"/>
        <v>1375</v>
      </c>
    </row>
    <row r="305" spans="17:137" s="30" customFormat="1">
      <c r="X305" s="67"/>
      <c r="AB305" s="68"/>
      <c r="AD305" s="71"/>
      <c r="AE305" s="71"/>
      <c r="AG305" s="71"/>
      <c r="AH305" s="73"/>
      <c r="AJ305" s="74"/>
      <c r="AL305" s="78"/>
      <c r="AM305" s="78"/>
      <c r="AO305" s="71"/>
      <c r="AR305" s="74"/>
      <c r="AW305" s="71"/>
      <c r="AZ305" s="74"/>
      <c r="BB305" s="71"/>
      <c r="BD305" s="71"/>
      <c r="BG305" s="74"/>
      <c r="BI305" s="71"/>
      <c r="BK305" s="71"/>
      <c r="BN305" s="74"/>
      <c r="BP305" s="71"/>
      <c r="BQ305" s="71"/>
      <c r="BS305" s="71"/>
      <c r="BV305" s="74"/>
      <c r="BX305" s="71"/>
      <c r="BZ305" s="71"/>
      <c r="CC305" s="38"/>
      <c r="CD305" s="29"/>
      <c r="CE305" s="39"/>
      <c r="CF305" s="39"/>
      <c r="CG305" s="39"/>
      <c r="CH305" s="40"/>
      <c r="CI305" s="40"/>
      <c r="CJ305" s="40"/>
      <c r="CK305" s="39"/>
      <c r="CL305" s="39"/>
      <c r="CM305" s="39"/>
      <c r="CN305" s="39"/>
      <c r="CO305" s="39"/>
      <c r="CP305" s="39"/>
      <c r="CQ305" s="39"/>
      <c r="CR305" s="39"/>
      <c r="CS305" s="39"/>
      <c r="CT305" s="39"/>
      <c r="CU305" s="39"/>
      <c r="CV305" s="39"/>
      <c r="CW305" s="41"/>
      <c r="CX305" s="39"/>
      <c r="CY305" s="39"/>
      <c r="CZ305" s="41"/>
      <c r="DA305" s="41"/>
      <c r="DB305" s="41"/>
      <c r="DC305" s="41"/>
      <c r="DD305" s="39"/>
      <c r="DE305" s="39"/>
      <c r="DF305" s="41"/>
      <c r="DG305" s="41"/>
      <c r="DH305" s="41"/>
      <c r="DI305" s="42"/>
      <c r="DJ305" s="43"/>
      <c r="DK305" s="43">
        <f t="shared" ref="DK305:DK369" si="337">CI305</f>
        <v>0</v>
      </c>
      <c r="DS305" s="30">
        <v>0</v>
      </c>
      <c r="DT305" s="30">
        <v>0</v>
      </c>
      <c r="DU305" s="42">
        <v>0</v>
      </c>
      <c r="DV305" s="30">
        <v>0</v>
      </c>
      <c r="DX305" s="42">
        <f>+DU330*25</f>
        <v>1050</v>
      </c>
    </row>
    <row r="306" spans="17:137" s="30" customFormat="1" ht="15.75" customHeight="1" thickBot="1">
      <c r="U306" s="143">
        <v>0</v>
      </c>
      <c r="V306" s="143">
        <v>0</v>
      </c>
      <c r="W306" s="143">
        <v>5.0000000000000001E-3</v>
      </c>
      <c r="X306" s="144">
        <v>0.02</v>
      </c>
      <c r="Y306" s="143">
        <v>5.0000000000000001E-3</v>
      </c>
      <c r="Z306" s="143">
        <v>0</v>
      </c>
      <c r="AA306" s="143">
        <v>0.01</v>
      </c>
      <c r="AB306" s="148">
        <v>7.0000000000000007E-2</v>
      </c>
      <c r="AC306" s="143">
        <v>7.0000000000000007E-2</v>
      </c>
      <c r="AD306" s="151">
        <v>0</v>
      </c>
      <c r="AE306" s="151">
        <v>0</v>
      </c>
      <c r="AF306" s="143">
        <v>6.0000000000000001E-3</v>
      </c>
      <c r="AG306" s="151"/>
      <c r="AH306" s="143">
        <v>0.1</v>
      </c>
      <c r="AI306" s="151">
        <v>0.01</v>
      </c>
      <c r="AJ306" s="152">
        <v>0.01</v>
      </c>
      <c r="AK306" s="143">
        <v>0.01</v>
      </c>
      <c r="AL306" s="31"/>
      <c r="AM306" s="78"/>
      <c r="AO306" s="71"/>
      <c r="AR306" s="74"/>
      <c r="AW306" s="71"/>
      <c r="AZ306" s="74"/>
      <c r="BB306" s="71"/>
      <c r="BD306" s="71"/>
      <c r="BG306" s="74"/>
      <c r="BI306" s="71"/>
      <c r="BK306" s="71"/>
      <c r="BN306" s="74"/>
      <c r="BP306" s="71"/>
      <c r="BQ306" s="71"/>
      <c r="BS306" s="71"/>
      <c r="BV306" s="74"/>
      <c r="BX306" s="71"/>
      <c r="BZ306" s="71"/>
      <c r="CC306" s="38"/>
      <c r="CD306" s="29"/>
      <c r="CE306" s="39"/>
      <c r="CF306" s="39"/>
      <c r="CG306" s="39"/>
      <c r="CH306" s="40"/>
      <c r="CI306" s="40"/>
      <c r="CJ306" s="40"/>
      <c r="CK306" s="39"/>
      <c r="CL306" s="39"/>
      <c r="CM306" s="39"/>
      <c r="CN306" s="39"/>
      <c r="CO306" s="39"/>
      <c r="CP306" s="39"/>
      <c r="CQ306" s="39"/>
      <c r="CR306" s="39"/>
      <c r="CS306" s="39"/>
      <c r="CT306" s="39"/>
      <c r="CU306" s="39"/>
      <c r="CV306" s="39"/>
      <c r="CW306" s="41"/>
      <c r="CX306" s="39"/>
      <c r="CY306" s="39"/>
      <c r="CZ306" s="41"/>
      <c r="DA306" s="41"/>
      <c r="DB306" s="41"/>
      <c r="DC306" s="41"/>
      <c r="DD306" s="39"/>
      <c r="DE306" s="39"/>
      <c r="DF306" s="41"/>
      <c r="DG306" s="41"/>
      <c r="DH306" s="41"/>
      <c r="DI306" s="42"/>
      <c r="DJ306" s="43"/>
      <c r="DK306" s="43">
        <f t="shared" si="337"/>
        <v>0</v>
      </c>
      <c r="DU306" s="42"/>
      <c r="DX306" s="42"/>
      <c r="DY306" s="42"/>
      <c r="DZ306" s="42"/>
      <c r="EA306" s="42"/>
    </row>
    <row r="307" spans="17:137" s="30" customFormat="1" ht="14.65" thickBot="1">
      <c r="U307" s="142" t="s">
        <v>647</v>
      </c>
      <c r="X307" s="67"/>
      <c r="AB307" s="68"/>
      <c r="AD307" s="71"/>
      <c r="AE307" s="71"/>
      <c r="AG307" s="71"/>
      <c r="AI307" s="71"/>
      <c r="AJ307" s="74"/>
      <c r="AM307" s="120" t="s">
        <v>648</v>
      </c>
      <c r="AN307" s="120"/>
      <c r="AO307" s="120"/>
      <c r="AP307" s="120"/>
      <c r="AQ307" s="120"/>
      <c r="AR307" s="74"/>
      <c r="AT307" s="120"/>
      <c r="AU307" s="120"/>
      <c r="AV307" s="120"/>
      <c r="AW307" s="120"/>
      <c r="AX307" s="120"/>
      <c r="AY307" s="120"/>
      <c r="AZ307" s="154"/>
      <c r="BA307" s="120"/>
      <c r="BB307" s="120"/>
      <c r="BC307" s="120"/>
      <c r="BD307" s="120"/>
      <c r="BE307" s="120"/>
      <c r="BF307" s="120"/>
      <c r="BG307" s="154"/>
      <c r="BH307" s="120"/>
      <c r="BI307" s="120"/>
      <c r="BJ307" s="120"/>
      <c r="BK307" s="120"/>
      <c r="BM307" s="120"/>
      <c r="BN307" s="120"/>
      <c r="BO307" s="154"/>
      <c r="BP307" s="120"/>
      <c r="BQ307" s="120"/>
      <c r="BR307" s="120"/>
      <c r="BU307" s="120"/>
      <c r="BV307" s="154"/>
      <c r="BW307" s="120"/>
      <c r="BX307" s="120"/>
      <c r="BY307" s="120"/>
      <c r="CC307" s="38"/>
      <c r="CD307" s="29"/>
      <c r="CE307" s="39"/>
      <c r="CF307" s="707" t="s">
        <v>649</v>
      </c>
      <c r="CG307" s="708"/>
      <c r="CH307" s="708"/>
      <c r="CI307" s="708"/>
      <c r="CJ307" s="709"/>
      <c r="CK307" s="707" t="s">
        <v>650</v>
      </c>
      <c r="CL307" s="708"/>
      <c r="CM307" s="708"/>
      <c r="CN307" s="708"/>
      <c r="CO307" s="709"/>
      <c r="CP307" s="39"/>
      <c r="CQ307" s="39"/>
      <c r="CR307" s="39"/>
      <c r="CS307" s="39"/>
      <c r="CT307" s="39"/>
      <c r="CU307" s="39"/>
      <c r="CV307" s="39"/>
      <c r="CW307" s="41"/>
      <c r="CX307" s="39"/>
      <c r="CY307" s="39"/>
      <c r="CZ307" s="41"/>
      <c r="DA307" s="41"/>
      <c r="DB307" s="41"/>
      <c r="DC307" s="41"/>
      <c r="DD307" s="39"/>
      <c r="DE307" s="39"/>
      <c r="DF307" s="41"/>
      <c r="DG307" s="41"/>
      <c r="DH307" s="41"/>
      <c r="DI307" s="42"/>
      <c r="DJ307" s="43"/>
      <c r="DK307" s="43">
        <f t="shared" si="337"/>
        <v>0</v>
      </c>
      <c r="DS307" s="42" t="s">
        <v>651</v>
      </c>
      <c r="DT307" s="739" t="s">
        <v>652</v>
      </c>
      <c r="DU307" s="739" t="s">
        <v>653</v>
      </c>
      <c r="DV307" s="739"/>
      <c r="DW307" s="738" t="s">
        <v>654</v>
      </c>
      <c r="DX307" s="739" t="s">
        <v>655</v>
      </c>
      <c r="DY307" s="739" t="s">
        <v>656</v>
      </c>
      <c r="DZ307" s="739" t="s">
        <v>657</v>
      </c>
      <c r="EA307" s="739" t="s">
        <v>658</v>
      </c>
      <c r="EB307" s="739" t="s">
        <v>653</v>
      </c>
      <c r="EC307" s="739"/>
      <c r="ED307" s="739" t="s">
        <v>659</v>
      </c>
      <c r="EE307" s="739"/>
    </row>
    <row r="308" spans="17:137" s="30" customFormat="1" ht="21.75" customHeight="1">
      <c r="U308" s="143">
        <v>0</v>
      </c>
      <c r="V308" s="143">
        <v>0</v>
      </c>
      <c r="W308" s="143">
        <v>5.0000000000000001E-3</v>
      </c>
      <c r="X308" s="144">
        <v>0.02</v>
      </c>
      <c r="Y308" s="143">
        <v>5.0000000000000001E-3</v>
      </c>
      <c r="Z308" s="143">
        <v>0</v>
      </c>
      <c r="AA308" s="143">
        <v>0.01</v>
      </c>
      <c r="AB308" s="148">
        <v>7.0000000000000007E-2</v>
      </c>
      <c r="AC308" s="143">
        <v>7.0000000000000007E-2</v>
      </c>
      <c r="AD308" s="151">
        <v>0</v>
      </c>
      <c r="AE308" s="151">
        <v>0</v>
      </c>
      <c r="AF308" s="143">
        <v>6.0000000000000001E-3</v>
      </c>
      <c r="AG308" s="151"/>
      <c r="AH308" s="143">
        <v>0.1</v>
      </c>
      <c r="AI308" s="151">
        <v>0.01</v>
      </c>
      <c r="AJ308" s="152">
        <v>0.01</v>
      </c>
      <c r="AK308" s="143">
        <v>0.01</v>
      </c>
      <c r="AL308" s="31"/>
      <c r="AM308" s="746" t="s">
        <v>660</v>
      </c>
      <c r="AN308" s="746"/>
      <c r="AO308" s="746"/>
      <c r="AP308" s="746"/>
      <c r="AQ308" s="746"/>
      <c r="AR308" s="154" t="s">
        <v>661</v>
      </c>
      <c r="AS308" s="120" t="s">
        <v>661</v>
      </c>
      <c r="AT308" s="120"/>
      <c r="AU308" s="120"/>
      <c r="AV308" s="120"/>
      <c r="AW308" s="120"/>
      <c r="AX308" s="120"/>
      <c r="AY308" s="120"/>
      <c r="AZ308" s="154"/>
      <c r="BA308" s="120"/>
      <c r="BB308" s="120"/>
      <c r="BC308" s="120"/>
      <c r="BD308" s="120"/>
      <c r="BE308" s="120"/>
      <c r="BF308" s="120"/>
      <c r="BG308" s="154"/>
      <c r="BH308" s="120"/>
      <c r="BI308" s="120"/>
      <c r="BJ308" s="120"/>
      <c r="BK308" s="120"/>
      <c r="BM308" s="120"/>
      <c r="BN308" s="120"/>
      <c r="BO308" s="154"/>
      <c r="BP308" s="120"/>
      <c r="BQ308" s="120"/>
      <c r="BR308" s="120"/>
      <c r="BU308" s="120"/>
      <c r="BV308" s="154"/>
      <c r="BW308" s="120"/>
      <c r="BX308" s="120"/>
      <c r="BY308" s="120"/>
      <c r="CC308" s="38"/>
      <c r="CD308" s="710" t="s">
        <v>662</v>
      </c>
      <c r="CE308" s="85"/>
      <c r="CF308" s="710" t="s">
        <v>663</v>
      </c>
      <c r="CG308" s="85"/>
      <c r="CH308" s="710" t="s">
        <v>181</v>
      </c>
      <c r="CI308" s="710" t="s">
        <v>181</v>
      </c>
      <c r="CJ308" s="710" t="s">
        <v>182</v>
      </c>
      <c r="CK308" s="710" t="s">
        <v>664</v>
      </c>
      <c r="CL308" s="85"/>
      <c r="CM308" s="710" t="s">
        <v>181</v>
      </c>
      <c r="CN308" s="710" t="s">
        <v>181</v>
      </c>
      <c r="CO308" s="710" t="s">
        <v>182</v>
      </c>
      <c r="CP308" s="39"/>
      <c r="CQ308" s="39"/>
      <c r="CR308" s="39"/>
      <c r="CS308" s="39"/>
      <c r="CT308" s="39"/>
      <c r="CU308" s="39"/>
      <c r="CV308" s="39"/>
      <c r="CW308" s="41"/>
      <c r="CX308" s="39"/>
      <c r="CY308" s="39"/>
      <c r="CZ308" s="41"/>
      <c r="DA308" s="41"/>
      <c r="DB308" s="41"/>
      <c r="DC308" s="41"/>
      <c r="DD308" s="39"/>
      <c r="DE308" s="39"/>
      <c r="DF308" s="41"/>
      <c r="DG308" s="41"/>
      <c r="DH308" s="41"/>
      <c r="DI308" s="42"/>
      <c r="DJ308" s="43"/>
      <c r="DK308" s="43" t="str">
        <f t="shared" si="337"/>
        <v>Incertidumbre (+/- %)</v>
      </c>
      <c r="DS308" s="42"/>
      <c r="DT308" s="739"/>
      <c r="DU308" s="168">
        <v>1995</v>
      </c>
      <c r="DV308" s="42">
        <v>2007</v>
      </c>
      <c r="DW308" s="738"/>
      <c r="DX308" s="739"/>
      <c r="DY308" s="739"/>
      <c r="DZ308" s="739"/>
      <c r="EA308" s="739"/>
      <c r="EB308" s="42">
        <v>1995</v>
      </c>
      <c r="EC308" s="42">
        <v>2007</v>
      </c>
      <c r="ED308" s="42">
        <v>1995</v>
      </c>
      <c r="EE308" s="42">
        <v>2007</v>
      </c>
    </row>
    <row r="309" spans="17:137" s="30" customFormat="1" ht="34.5" customHeight="1" thickBot="1">
      <c r="S309" s="142" t="s">
        <v>665</v>
      </c>
      <c r="T309" s="142" t="s">
        <v>666</v>
      </c>
      <c r="U309" s="142" t="s">
        <v>667</v>
      </c>
      <c r="V309" s="142" t="s">
        <v>668</v>
      </c>
      <c r="W309" s="142" t="s">
        <v>669</v>
      </c>
      <c r="X309" s="145" t="s">
        <v>670</v>
      </c>
      <c r="Y309" s="142" t="s">
        <v>671</v>
      </c>
      <c r="Z309" s="142" t="s">
        <v>672</v>
      </c>
      <c r="AA309" s="142" t="s">
        <v>673</v>
      </c>
      <c r="AB309" s="149" t="s">
        <v>674</v>
      </c>
      <c r="AC309" s="142" t="s">
        <v>674</v>
      </c>
      <c r="AD309" s="142" t="s">
        <v>675</v>
      </c>
      <c r="AE309" s="142" t="s">
        <v>676</v>
      </c>
      <c r="AF309" s="142" t="s">
        <v>677</v>
      </c>
      <c r="AG309" s="143"/>
      <c r="AH309" s="142" t="s">
        <v>678</v>
      </c>
      <c r="AI309" s="142" t="s">
        <v>679</v>
      </c>
      <c r="AJ309" s="153" t="s">
        <v>680</v>
      </c>
      <c r="AK309" s="142" t="s">
        <v>680</v>
      </c>
      <c r="AL309" s="142" t="s">
        <v>563</v>
      </c>
      <c r="AM309" s="155" t="s">
        <v>681</v>
      </c>
      <c r="AN309" s="155" t="s">
        <v>682</v>
      </c>
      <c r="AO309" s="29"/>
      <c r="AP309" s="155" t="s">
        <v>683</v>
      </c>
      <c r="AQ309" s="155" t="s">
        <v>684</v>
      </c>
      <c r="AR309" s="157" t="s">
        <v>685</v>
      </c>
      <c r="AS309" s="159" t="s">
        <v>685</v>
      </c>
      <c r="AT309" s="159" t="s">
        <v>686</v>
      </c>
      <c r="AU309" s="160" t="s">
        <v>667</v>
      </c>
      <c r="AV309" s="160" t="s">
        <v>668</v>
      </c>
      <c r="AX309" s="160" t="s">
        <v>669</v>
      </c>
      <c r="AY309" s="160" t="s">
        <v>670</v>
      </c>
      <c r="AZ309" s="162" t="s">
        <v>671</v>
      </c>
      <c r="BA309" s="160" t="s">
        <v>671</v>
      </c>
      <c r="BB309" s="160" t="s">
        <v>672</v>
      </c>
      <c r="BC309" s="160" t="s">
        <v>673</v>
      </c>
      <c r="BE309" s="160" t="s">
        <v>674</v>
      </c>
      <c r="BF309" s="160" t="s">
        <v>675</v>
      </c>
      <c r="BG309" s="162" t="s">
        <v>676</v>
      </c>
      <c r="BH309" s="160" t="s">
        <v>676</v>
      </c>
      <c r="BI309" s="160" t="s">
        <v>677</v>
      </c>
      <c r="BJ309" s="160" t="s">
        <v>678</v>
      </c>
      <c r="BK309" s="160" t="s">
        <v>679</v>
      </c>
      <c r="BL309" s="160" t="s">
        <v>680</v>
      </c>
      <c r="BM309" s="160" t="s">
        <v>674</v>
      </c>
      <c r="BN309" s="160" t="s">
        <v>675</v>
      </c>
      <c r="BO309" s="162" t="s">
        <v>676</v>
      </c>
      <c r="BP309" s="160" t="s">
        <v>676</v>
      </c>
      <c r="BQ309" s="160" t="s">
        <v>678</v>
      </c>
      <c r="BR309" s="160" t="s">
        <v>679</v>
      </c>
      <c r="BS309" s="160" t="s">
        <v>680</v>
      </c>
      <c r="BT309" s="160" t="s">
        <v>563</v>
      </c>
      <c r="BU309" s="160"/>
      <c r="BV309" s="162"/>
      <c r="BW309" s="160"/>
      <c r="BX309" s="160"/>
      <c r="BY309" s="160"/>
      <c r="BZ309" s="160"/>
      <c r="CA309" s="160"/>
      <c r="CC309" s="38"/>
      <c r="CD309" s="711"/>
      <c r="CE309" s="87" t="s">
        <v>193</v>
      </c>
      <c r="CF309" s="711"/>
      <c r="CG309" s="87" t="s">
        <v>194</v>
      </c>
      <c r="CH309" s="711"/>
      <c r="CI309" s="711"/>
      <c r="CJ309" s="711"/>
      <c r="CK309" s="711"/>
      <c r="CL309" s="87" t="s">
        <v>194</v>
      </c>
      <c r="CM309" s="711"/>
      <c r="CN309" s="711"/>
      <c r="CO309" s="711"/>
      <c r="CP309" s="39"/>
      <c r="CQ309" s="39"/>
      <c r="CR309" s="39"/>
      <c r="CS309" s="39"/>
      <c r="CT309" s="39"/>
      <c r="CU309" s="39"/>
      <c r="CV309" s="39"/>
      <c r="CW309" s="41"/>
      <c r="CX309" s="39"/>
      <c r="CY309" s="39"/>
      <c r="CZ309" s="41"/>
      <c r="DA309" s="41"/>
      <c r="DB309" s="41"/>
      <c r="DC309" s="41"/>
      <c r="DD309" s="39"/>
      <c r="DE309" s="39"/>
      <c r="DF309" s="41"/>
      <c r="DG309" s="41"/>
      <c r="DH309" s="41"/>
      <c r="DI309" s="42"/>
      <c r="DJ309" s="43"/>
      <c r="DK309" s="43">
        <f t="shared" si="337"/>
        <v>0</v>
      </c>
      <c r="DR309" s="30" t="s">
        <v>662</v>
      </c>
      <c r="DS309" s="42">
        <v>0</v>
      </c>
      <c r="DT309" s="168">
        <v>0</v>
      </c>
      <c r="DU309" s="168">
        <v>0</v>
      </c>
      <c r="DV309" s="42">
        <v>0</v>
      </c>
      <c r="DW309" s="42">
        <v>0</v>
      </c>
      <c r="DX309" s="168">
        <v>0</v>
      </c>
      <c r="DY309" s="168">
        <v>0</v>
      </c>
      <c r="DZ309" s="168">
        <v>0</v>
      </c>
      <c r="EA309" s="168">
        <v>0</v>
      </c>
      <c r="EB309" s="42">
        <v>0</v>
      </c>
      <c r="EC309" s="42">
        <v>0</v>
      </c>
      <c r="ED309" s="42">
        <v>0</v>
      </c>
      <c r="EE309" s="42">
        <v>0</v>
      </c>
      <c r="EF309" s="30">
        <v>0</v>
      </c>
    </row>
    <row r="310" spans="17:137" s="30" customFormat="1" ht="28.15" thickBot="1">
      <c r="Q310" s="120" t="s">
        <v>687</v>
      </c>
      <c r="S310" s="143">
        <v>0.48</v>
      </c>
      <c r="T310" s="143">
        <v>400</v>
      </c>
      <c r="U310" s="146">
        <f t="shared" ref="U310:AJ327" si="338">((($S310*($T310/1000)*365)*1)*U$306)*(44/28)</f>
        <v>0</v>
      </c>
      <c r="V310" s="146">
        <f t="shared" si="338"/>
        <v>0</v>
      </c>
      <c r="W310" s="146">
        <f>((($S310*($T310/1000)*365)*1)*W$306)*(44/28)</f>
        <v>0.55062857142857136</v>
      </c>
      <c r="X310" s="145">
        <f t="shared" si="338"/>
        <v>2.2025142857142854</v>
      </c>
      <c r="Y310" s="146">
        <f t="shared" si="338"/>
        <v>0.55062857142857136</v>
      </c>
      <c r="Z310" s="146">
        <f t="shared" si="338"/>
        <v>0</v>
      </c>
      <c r="AA310" s="146">
        <f t="shared" si="338"/>
        <v>1.1012571428571427</v>
      </c>
      <c r="AB310" s="149">
        <f t="shared" si="338"/>
        <v>7.708800000000001</v>
      </c>
      <c r="AC310" s="146">
        <f t="shared" si="338"/>
        <v>7.708800000000001</v>
      </c>
      <c r="AD310" s="146">
        <f t="shared" si="338"/>
        <v>0</v>
      </c>
      <c r="AE310" s="146">
        <f t="shared" si="338"/>
        <v>0</v>
      </c>
      <c r="AF310" s="146">
        <f t="shared" si="338"/>
        <v>0.66075428571428574</v>
      </c>
      <c r="AG310" s="146">
        <f t="shared" si="338"/>
        <v>0</v>
      </c>
      <c r="AH310" s="146">
        <f t="shared" si="338"/>
        <v>11.012571428571428</v>
      </c>
      <c r="AI310" s="146">
        <v>0</v>
      </c>
      <c r="AJ310" s="153">
        <f t="shared" si="338"/>
        <v>1.1012571428571427</v>
      </c>
      <c r="AK310" s="146">
        <f t="shared" ref="AK310:AK325" si="339">((($S310*($T310/1000)*365)*1)*AK$306)*(44/28)</f>
        <v>1.1012571428571427</v>
      </c>
      <c r="AL310" s="156">
        <f t="shared" ref="AL310:AL345" si="340">AVERAGE(U310:AK310)</f>
        <v>1.9822628571428575</v>
      </c>
      <c r="AM310" s="29">
        <v>1</v>
      </c>
      <c r="AN310" s="29">
        <v>58</v>
      </c>
      <c r="AP310" s="29">
        <v>29</v>
      </c>
      <c r="AQ310" s="158">
        <v>0.3</v>
      </c>
      <c r="AR310" s="157">
        <v>2.9</v>
      </c>
      <c r="AS310" s="159">
        <v>2.9</v>
      </c>
      <c r="AT310" s="159">
        <v>0.13</v>
      </c>
      <c r="AU310" s="161">
        <f>(AS310*365)*(AT310*0.67*0.01*1)</f>
        <v>0.92195350000000009</v>
      </c>
      <c r="AV310" s="161">
        <f>(AS310*365)*(AT310*0.67*0.001*1)</f>
        <v>9.2195350000000023E-2</v>
      </c>
      <c r="AW310" s="163"/>
      <c r="AX310" s="161">
        <f>(AS310*365)*(AT310*0.67*0.02*1)</f>
        <v>1.8439070000000002</v>
      </c>
      <c r="AY310" s="161">
        <f>(AS310*365)*(AT310*0.67*0.01*1)</f>
        <v>0.92195350000000009</v>
      </c>
      <c r="AZ310" s="162">
        <f>(AR310*365)*(AS310*0.67*0.25*1)</f>
        <v>514.16637500000002</v>
      </c>
      <c r="BA310" s="161">
        <f>(AS310*365)*(AT310*0.67*0.25*1)</f>
        <v>23.048837500000001</v>
      </c>
      <c r="BB310" s="161">
        <f>(AS310*365)*(AT310*0.67*0.73*1)</f>
        <v>67.302605499999999</v>
      </c>
      <c r="BC310" s="161">
        <f>(AS310*365)*(AT310*0.67*0.03*1)</f>
        <v>2.7658605000000005</v>
      </c>
      <c r="BD310" s="163"/>
      <c r="BE310" s="161">
        <f>(AS310*365)*(AT310*0.67*0.25*1)</f>
        <v>23.048837500000001</v>
      </c>
      <c r="BF310" s="161">
        <f t="shared" ref="BF310:BF348" si="341">(AS310*365)*(AT310*0.67*1*1)</f>
        <v>92.195350000000005</v>
      </c>
      <c r="BG310" s="162">
        <f t="shared" ref="BG310:BH348" si="342">(AR310*365)*(AS310*0.67*0.1*1)</f>
        <v>205.66655000000003</v>
      </c>
      <c r="BH310" s="161">
        <f t="shared" si="342"/>
        <v>9.2195350000000005</v>
      </c>
      <c r="BI310" s="161">
        <f t="shared" ref="BI310:BI348" si="343">(AS310*365)*(AT310*0.67*0.005*1)</f>
        <v>0.46097675000000005</v>
      </c>
      <c r="BJ310" s="161">
        <f>(AS310*365)*(AT310*0.67*0.005*1)</f>
        <v>0.46097675000000005</v>
      </c>
      <c r="BK310" s="161">
        <v>0</v>
      </c>
      <c r="BL310" s="161">
        <v>0</v>
      </c>
      <c r="BM310" s="161">
        <f>(BA310*365)*(BB310*0.67*0.25*1)</f>
        <v>94839.352304668209</v>
      </c>
      <c r="BN310" s="161">
        <f t="shared" ref="BN310:BN333" si="344">(BA310*365)*(BB310*0.67*1*1)</f>
        <v>379357.40921867284</v>
      </c>
      <c r="BO310" s="162">
        <f t="shared" ref="BO310:BP333" si="345">(AZ310*365)*(BA310*0.67*0.1*1)</f>
        <v>289814.66984566679</v>
      </c>
      <c r="BP310" s="161">
        <f t="shared" si="345"/>
        <v>37935.740921867284</v>
      </c>
      <c r="BQ310" s="161">
        <f>(BA310*365)*(BB310*0.67*0.005*1)</f>
        <v>1896.7870460933643</v>
      </c>
      <c r="BR310" s="161">
        <v>0</v>
      </c>
      <c r="BS310" s="161">
        <v>0</v>
      </c>
      <c r="BT310" s="160">
        <f t="shared" ref="BT310:BT348" si="346">AVERAGE(AU310:BL310)</f>
        <v>58.882244615624998</v>
      </c>
      <c r="BU310" s="161"/>
      <c r="BV310" s="162"/>
      <c r="BW310" s="161"/>
      <c r="BX310" s="161"/>
      <c r="BY310" s="161"/>
      <c r="BZ310" s="161"/>
      <c r="CA310" s="160"/>
      <c r="CC310" s="110" t="s">
        <v>662</v>
      </c>
      <c r="CD310" s="111" t="str">
        <f t="shared" ref="CD310:CD342" si="347">Q310</f>
        <v>Ganado Lechero - Clima Frío</v>
      </c>
      <c r="CE310" s="92" t="s">
        <v>688</v>
      </c>
      <c r="CF310" s="165">
        <f>BT310</f>
        <v>58.882244615624998</v>
      </c>
      <c r="CG310" s="92" t="s">
        <v>636</v>
      </c>
      <c r="CH310" s="98">
        <v>0.2</v>
      </c>
      <c r="CI310" s="98">
        <v>0.5</v>
      </c>
      <c r="CJ310" s="97" t="s">
        <v>442</v>
      </c>
      <c r="CK310" s="165">
        <f t="shared" ref="CK310:CK342" si="348">AL310</f>
        <v>1.9822628571428575</v>
      </c>
      <c r="CL310" s="92" t="s">
        <v>689</v>
      </c>
      <c r="CM310" s="98">
        <v>0.2</v>
      </c>
      <c r="CN310" s="98">
        <v>0.5</v>
      </c>
      <c r="CO310" s="97" t="s">
        <v>442</v>
      </c>
      <c r="CP310" s="39"/>
      <c r="CQ310" s="96">
        <v>25</v>
      </c>
      <c r="CR310" s="92" t="s">
        <v>632</v>
      </c>
      <c r="CS310" s="39"/>
      <c r="CT310" s="96">
        <v>370.88228571428601</v>
      </c>
      <c r="CU310" s="92" t="s">
        <v>632</v>
      </c>
      <c r="CV310" s="39"/>
      <c r="CW310" s="41"/>
      <c r="CX310" s="39"/>
      <c r="CY310" s="39"/>
      <c r="CZ310" s="41"/>
      <c r="DA310" s="41"/>
      <c r="DB310" s="41"/>
      <c r="DC310" s="41"/>
      <c r="DD310" s="39"/>
      <c r="DE310" s="39"/>
      <c r="DF310" s="41"/>
      <c r="DG310" s="41"/>
      <c r="DH310" s="41"/>
      <c r="DI310" s="42"/>
      <c r="DJ310" s="43">
        <v>0.2</v>
      </c>
      <c r="DK310" s="43">
        <v>0.1</v>
      </c>
      <c r="DR310" s="30" t="s">
        <v>662</v>
      </c>
      <c r="DS310" s="30" t="s">
        <v>690</v>
      </c>
      <c r="DT310" s="30">
        <v>1</v>
      </c>
      <c r="DU310" s="71">
        <f>+DT310*21</f>
        <v>21</v>
      </c>
      <c r="DV310" s="71">
        <f>+DT310*25</f>
        <v>25</v>
      </c>
      <c r="DW310" s="30">
        <v>40</v>
      </c>
      <c r="DX310" s="30">
        <v>0.99</v>
      </c>
      <c r="DY310" s="71">
        <f>+DW310*DX310</f>
        <v>39.6</v>
      </c>
      <c r="DZ310" s="30">
        <v>0.02</v>
      </c>
      <c r="EA310" s="169">
        <f>+DY310*DZ310*44/28</f>
        <v>1.2445714285714284</v>
      </c>
      <c r="EB310" s="169">
        <f>+EA310*310</f>
        <v>385.81714285714281</v>
      </c>
      <c r="EC310" s="169">
        <f>+EA310*298</f>
        <v>370.88228571428567</v>
      </c>
      <c r="ED310" s="170">
        <f>+DU310+EB310</f>
        <v>406.81714285714281</v>
      </c>
      <c r="EE310" s="170">
        <f>+DV310+EC310</f>
        <v>395.88228571428567</v>
      </c>
      <c r="EF310" s="42" t="s">
        <v>688</v>
      </c>
    </row>
    <row r="311" spans="17:137" s="30" customFormat="1" ht="28.15" thickBot="1">
      <c r="Q311" s="120" t="s">
        <v>691</v>
      </c>
      <c r="S311" s="143">
        <v>0.48</v>
      </c>
      <c r="T311" s="143">
        <v>400</v>
      </c>
      <c r="U311" s="146">
        <f t="shared" si="338"/>
        <v>0</v>
      </c>
      <c r="V311" s="146">
        <f t="shared" si="338"/>
        <v>0</v>
      </c>
      <c r="W311" s="146">
        <f t="shared" si="338"/>
        <v>0.55062857142857136</v>
      </c>
      <c r="X311" s="145">
        <f t="shared" si="338"/>
        <v>2.2025142857142854</v>
      </c>
      <c r="Y311" s="146">
        <f t="shared" si="338"/>
        <v>0.55062857142857136</v>
      </c>
      <c r="Z311" s="146">
        <f t="shared" si="338"/>
        <v>0</v>
      </c>
      <c r="AA311" s="146">
        <f t="shared" si="338"/>
        <v>1.1012571428571427</v>
      </c>
      <c r="AB311" s="149">
        <f t="shared" si="338"/>
        <v>7.708800000000001</v>
      </c>
      <c r="AC311" s="146">
        <f t="shared" si="338"/>
        <v>7.708800000000001</v>
      </c>
      <c r="AD311" s="146">
        <f t="shared" si="338"/>
        <v>0</v>
      </c>
      <c r="AE311" s="146">
        <f t="shared" si="338"/>
        <v>0</v>
      </c>
      <c r="AF311" s="146">
        <f t="shared" si="338"/>
        <v>0.66075428571428574</v>
      </c>
      <c r="AG311" s="146">
        <f t="shared" si="338"/>
        <v>0</v>
      </c>
      <c r="AH311" s="146">
        <f t="shared" si="338"/>
        <v>11.012571428571428</v>
      </c>
      <c r="AI311" s="146">
        <v>0</v>
      </c>
      <c r="AJ311" s="153">
        <f t="shared" si="338"/>
        <v>1.1012571428571427</v>
      </c>
      <c r="AK311" s="146">
        <f t="shared" si="339"/>
        <v>1.1012571428571427</v>
      </c>
      <c r="AL311" s="156">
        <f t="shared" si="340"/>
        <v>1.9822628571428575</v>
      </c>
      <c r="AM311" s="29">
        <v>1</v>
      </c>
      <c r="AN311" s="29">
        <v>98</v>
      </c>
      <c r="AP311" s="29">
        <v>75</v>
      </c>
      <c r="AQ311" s="158">
        <v>0.3</v>
      </c>
      <c r="AR311" s="157">
        <v>2.9</v>
      </c>
      <c r="AS311" s="159">
        <v>2.9</v>
      </c>
      <c r="AT311" s="159">
        <v>0.13</v>
      </c>
      <c r="AU311" s="161">
        <f>(AS311*365)*(AT311*0.67*0.015*1)</f>
        <v>1.3829302500000002</v>
      </c>
      <c r="AV311" s="161">
        <f>(AS311*365)*(AT311*0.67*0.005*1)</f>
        <v>0.46097675000000005</v>
      </c>
      <c r="AW311" s="163"/>
      <c r="AX311" s="161">
        <f>(AS311*365)*(AT311*0.67*0.04*1)</f>
        <v>3.6878140000000004</v>
      </c>
      <c r="AY311" s="161">
        <f>(AS311*365)*(AT311*0.67*0.015*1)</f>
        <v>1.3829302500000002</v>
      </c>
      <c r="AZ311" s="162">
        <f>(AR311*365)*(AS311*0.67*0.65*1)</f>
        <v>1336.8325749999999</v>
      </c>
      <c r="BA311" s="161">
        <f>(AS311*365)*(AT311*0.67*0.65*1)</f>
        <v>59.926977500000007</v>
      </c>
      <c r="BB311" s="161">
        <f>(AS311*365)*(AT311*0.67*0.79*1)</f>
        <v>72.834326500000003</v>
      </c>
      <c r="BC311" s="161">
        <f>(AS311*365)*(AT311*0.67*0.03*1)</f>
        <v>2.7658605000000005</v>
      </c>
      <c r="BD311" s="163"/>
      <c r="BE311" s="161">
        <f>(AS311*365)*(AT311*0.67*0.65*1)</f>
        <v>59.926977500000007</v>
      </c>
      <c r="BF311" s="161">
        <f t="shared" si="341"/>
        <v>92.195350000000005</v>
      </c>
      <c r="BG311" s="162">
        <f t="shared" si="342"/>
        <v>205.66655000000003</v>
      </c>
      <c r="BH311" s="161">
        <f t="shared" si="342"/>
        <v>9.2195350000000005</v>
      </c>
      <c r="BI311" s="161">
        <f t="shared" si="343"/>
        <v>0.46097675000000005</v>
      </c>
      <c r="BJ311" s="161">
        <f>(AS311*365)*(AT311*0.67*0.01*1)</f>
        <v>0.92195350000000009</v>
      </c>
      <c r="BK311" s="161">
        <v>0</v>
      </c>
      <c r="BL311" s="161">
        <v>0</v>
      </c>
      <c r="BM311" s="161">
        <f>(BA311*365)*(BB311*0.67*0.65*1)</f>
        <v>693808.32472308248</v>
      </c>
      <c r="BN311" s="161">
        <f t="shared" si="344"/>
        <v>1067397.422650896</v>
      </c>
      <c r="BO311" s="162">
        <f t="shared" si="345"/>
        <v>1959147.1681567079</v>
      </c>
      <c r="BP311" s="161">
        <f t="shared" si="345"/>
        <v>106739.74226508962</v>
      </c>
      <c r="BQ311" s="161">
        <f>(BA311*365)*(BB311*0.67*0.01*1)</f>
        <v>10673.974226508961</v>
      </c>
      <c r="BR311" s="161">
        <v>0</v>
      </c>
      <c r="BS311" s="161">
        <v>0</v>
      </c>
      <c r="BT311" s="160">
        <f t="shared" si="346"/>
        <v>115.47910834375</v>
      </c>
      <c r="BU311" s="161"/>
      <c r="BV311" s="162"/>
      <c r="BW311" s="161"/>
      <c r="BX311" s="161"/>
      <c r="BY311" s="161"/>
      <c r="BZ311" s="161"/>
      <c r="CA311" s="160"/>
      <c r="CC311" s="110"/>
      <c r="CD311" s="111" t="str">
        <f t="shared" si="347"/>
        <v>Ganado Lechero - Clima Templado</v>
      </c>
      <c r="CE311" s="92" t="s">
        <v>688</v>
      </c>
      <c r="CF311" s="165">
        <f t="shared" ref="CF311:CF342" si="349">BT311</f>
        <v>115.47910834375</v>
      </c>
      <c r="CG311" s="92" t="s">
        <v>636</v>
      </c>
      <c r="CH311" s="98">
        <v>0.2</v>
      </c>
      <c r="CI311" s="98">
        <v>0.5</v>
      </c>
      <c r="CJ311" s="97" t="s">
        <v>442</v>
      </c>
      <c r="CK311" s="165">
        <f t="shared" si="348"/>
        <v>1.9822628571428575</v>
      </c>
      <c r="CL311" s="92" t="s">
        <v>689</v>
      </c>
      <c r="CM311" s="98">
        <v>0.2</v>
      </c>
      <c r="CN311" s="98">
        <v>0.5</v>
      </c>
      <c r="CO311" s="97" t="s">
        <v>442</v>
      </c>
      <c r="CP311" s="39"/>
      <c r="CQ311" s="96">
        <v>25</v>
      </c>
      <c r="CR311" s="92" t="s">
        <v>632</v>
      </c>
      <c r="CS311" s="39"/>
      <c r="CT311" s="96">
        <v>370.88228571428601</v>
      </c>
      <c r="CU311" s="92" t="s">
        <v>632</v>
      </c>
      <c r="CV311" s="39"/>
      <c r="CW311" s="41"/>
      <c r="CX311" s="39"/>
      <c r="CY311" s="39"/>
      <c r="CZ311" s="41"/>
      <c r="DA311" s="41"/>
      <c r="DB311" s="41"/>
      <c r="DC311" s="41"/>
      <c r="DD311" s="39"/>
      <c r="DE311" s="39"/>
      <c r="DF311" s="41"/>
      <c r="DG311" s="41"/>
      <c r="DH311" s="41"/>
      <c r="DI311" s="42"/>
      <c r="DJ311" s="43">
        <v>0.2</v>
      </c>
      <c r="DK311" s="43">
        <v>0.1</v>
      </c>
      <c r="DS311" s="30" t="s">
        <v>692</v>
      </c>
      <c r="DT311" s="30">
        <v>1</v>
      </c>
      <c r="DU311" s="71">
        <f t="shared" ref="DU311:DU342" si="350">+DT311*21</f>
        <v>21</v>
      </c>
      <c r="DV311" s="71">
        <f t="shared" ref="DV311:DV342" si="351">+DT311*25</f>
        <v>25</v>
      </c>
      <c r="DW311" s="30">
        <v>40</v>
      </c>
      <c r="DX311" s="30">
        <v>0.99</v>
      </c>
      <c r="DY311" s="71">
        <f t="shared" ref="DY311:DY342" si="352">+DW311*DX311</f>
        <v>39.6</v>
      </c>
      <c r="DZ311" s="30">
        <v>0.02</v>
      </c>
      <c r="EA311" s="169">
        <f t="shared" ref="EA311:EA342" si="353">+DY311*DZ311*44/28</f>
        <v>1.2445714285714284</v>
      </c>
      <c r="EB311" s="169">
        <f t="shared" ref="EB311:EB342" si="354">+EA311*310</f>
        <v>385.81714285714281</v>
      </c>
      <c r="EC311" s="169">
        <f t="shared" ref="EC311:EC342" si="355">+EA311*298</f>
        <v>370.88228571428567</v>
      </c>
      <c r="ED311" s="170">
        <f t="shared" ref="ED311:EE342" si="356">+DU311+EB311</f>
        <v>406.81714285714281</v>
      </c>
      <c r="EE311" s="170">
        <f t="shared" si="356"/>
        <v>395.88228571428567</v>
      </c>
      <c r="EF311" s="42" t="s">
        <v>688</v>
      </c>
      <c r="EG311" s="30" t="s">
        <v>693</v>
      </c>
    </row>
    <row r="312" spans="17:137" s="30" customFormat="1" ht="28.15" thickBot="1">
      <c r="Q312" s="120" t="s">
        <v>694</v>
      </c>
      <c r="S312" s="143">
        <v>0.48</v>
      </c>
      <c r="T312" s="143">
        <v>400</v>
      </c>
      <c r="U312" s="146">
        <f t="shared" si="338"/>
        <v>0</v>
      </c>
      <c r="V312" s="146">
        <f t="shared" si="338"/>
        <v>0</v>
      </c>
      <c r="W312" s="146">
        <f t="shared" si="338"/>
        <v>0.55062857142857136</v>
      </c>
      <c r="X312" s="145">
        <f t="shared" si="338"/>
        <v>2.2025142857142854</v>
      </c>
      <c r="Y312" s="146">
        <f t="shared" si="338"/>
        <v>0.55062857142857136</v>
      </c>
      <c r="Z312" s="146">
        <f t="shared" si="338"/>
        <v>0</v>
      </c>
      <c r="AA312" s="146">
        <f t="shared" si="338"/>
        <v>1.1012571428571427</v>
      </c>
      <c r="AB312" s="149">
        <f t="shared" si="338"/>
        <v>7.708800000000001</v>
      </c>
      <c r="AC312" s="146">
        <f t="shared" si="338"/>
        <v>7.708800000000001</v>
      </c>
      <c r="AD312" s="146">
        <f t="shared" si="338"/>
        <v>0</v>
      </c>
      <c r="AE312" s="146">
        <f t="shared" si="338"/>
        <v>0</v>
      </c>
      <c r="AF312" s="146">
        <f t="shared" si="338"/>
        <v>0.66075428571428574</v>
      </c>
      <c r="AG312" s="146">
        <f t="shared" si="338"/>
        <v>0</v>
      </c>
      <c r="AH312" s="146">
        <f t="shared" si="338"/>
        <v>11.012571428571428</v>
      </c>
      <c r="AI312" s="146">
        <v>0</v>
      </c>
      <c r="AJ312" s="153">
        <f t="shared" si="338"/>
        <v>1.1012571428571427</v>
      </c>
      <c r="AK312" s="146">
        <f t="shared" si="339"/>
        <v>1.1012571428571427</v>
      </c>
      <c r="AL312" s="156">
        <f t="shared" si="340"/>
        <v>1.9822628571428575</v>
      </c>
      <c r="AM312" s="29">
        <v>1</v>
      </c>
      <c r="AN312" s="29">
        <v>112</v>
      </c>
      <c r="AP312" s="29">
        <v>92</v>
      </c>
      <c r="AQ312" s="158">
        <v>0.3</v>
      </c>
      <c r="AR312" s="157">
        <v>2.9</v>
      </c>
      <c r="AS312" s="159">
        <v>2.9</v>
      </c>
      <c r="AT312" s="159">
        <v>0.13</v>
      </c>
      <c r="AU312" s="161">
        <f>(AS312*365)*(AT312*0.67*0.02*1)</f>
        <v>1.8439070000000002</v>
      </c>
      <c r="AV312" s="161">
        <f>(AS312*365)*(AT312*0.67*0.01*1)</f>
        <v>0.92195350000000009</v>
      </c>
      <c r="AW312" s="163"/>
      <c r="AX312" s="161">
        <f>(AS312*365)*(AT312*0.67*0.05*1)</f>
        <v>4.6097675000000002</v>
      </c>
      <c r="AY312" s="161">
        <f>(AS312*365)*(AT312*0.67*0.02*1)</f>
        <v>1.8439070000000002</v>
      </c>
      <c r="AZ312" s="162">
        <f>(AR312*365)*(AS312*0.67*0.8*1)</f>
        <v>1645.3324000000002</v>
      </c>
      <c r="BA312" s="161">
        <f>(AS312*365)*(AT312*0.67*0.8*1)</f>
        <v>73.756280000000004</v>
      </c>
      <c r="BB312" s="161">
        <f>(AS312*365)*(AT312*0.67*0.8*1)</f>
        <v>73.756280000000004</v>
      </c>
      <c r="BC312" s="161">
        <f>(AS312*365)*(AT312*0.67*0.3*1)</f>
        <v>27.658605000000005</v>
      </c>
      <c r="BD312" s="163"/>
      <c r="BE312" s="161">
        <f>(AS312*365)*(AT312*0.67*0.8*1)</f>
        <v>73.756280000000004</v>
      </c>
      <c r="BF312" s="161">
        <f t="shared" si="341"/>
        <v>92.195350000000005</v>
      </c>
      <c r="BG312" s="162">
        <f t="shared" si="342"/>
        <v>205.66655000000003</v>
      </c>
      <c r="BH312" s="161">
        <f t="shared" si="342"/>
        <v>9.2195350000000005</v>
      </c>
      <c r="BI312" s="161">
        <f t="shared" si="343"/>
        <v>0.46097675000000005</v>
      </c>
      <c r="BJ312" s="161">
        <f>(AS312*365)*(AT312*0.67*0.015*1)</f>
        <v>1.3829302500000002</v>
      </c>
      <c r="BK312" s="161">
        <v>0</v>
      </c>
      <c r="BL312" s="161">
        <v>0</v>
      </c>
      <c r="BM312" s="161">
        <f>(BA312*365)*(BB312*0.67*0.8*1)</f>
        <v>1064279.4165477287</v>
      </c>
      <c r="BN312" s="161">
        <f t="shared" si="344"/>
        <v>1330349.2706846609</v>
      </c>
      <c r="BO312" s="162">
        <f t="shared" si="345"/>
        <v>2967702.2192196287</v>
      </c>
      <c r="BP312" s="161">
        <f t="shared" si="345"/>
        <v>133034.92706846609</v>
      </c>
      <c r="BQ312" s="161">
        <f>(BA312*365)*(BB312*0.67*0.015*1)</f>
        <v>19955.239060269912</v>
      </c>
      <c r="BR312" s="161">
        <v>0</v>
      </c>
      <c r="BS312" s="161">
        <v>0</v>
      </c>
      <c r="BT312" s="160">
        <f t="shared" si="346"/>
        <v>138.27529512500004</v>
      </c>
      <c r="BU312" s="161"/>
      <c r="BV312" s="162"/>
      <c r="BW312" s="161"/>
      <c r="BX312" s="161"/>
      <c r="BY312" s="161"/>
      <c r="BZ312" s="161"/>
      <c r="CA312" s="160"/>
      <c r="CC312" s="110"/>
      <c r="CD312" s="111" t="str">
        <f t="shared" si="347"/>
        <v>Ganado Lechero - Clima Cálido</v>
      </c>
      <c r="CE312" s="92" t="s">
        <v>688</v>
      </c>
      <c r="CF312" s="165">
        <f t="shared" si="349"/>
        <v>138.27529512500004</v>
      </c>
      <c r="CG312" s="92" t="s">
        <v>636</v>
      </c>
      <c r="CH312" s="98">
        <v>0.2</v>
      </c>
      <c r="CI312" s="98">
        <v>0.5</v>
      </c>
      <c r="CJ312" s="97" t="s">
        <v>442</v>
      </c>
      <c r="CK312" s="165">
        <f t="shared" si="348"/>
        <v>1.9822628571428575</v>
      </c>
      <c r="CL312" s="92" t="s">
        <v>689</v>
      </c>
      <c r="CM312" s="98">
        <v>0.2</v>
      </c>
      <c r="CN312" s="98">
        <v>0.5</v>
      </c>
      <c r="CO312" s="97" t="s">
        <v>442</v>
      </c>
      <c r="CP312" s="39"/>
      <c r="CQ312" s="96">
        <v>25</v>
      </c>
      <c r="CR312" s="92" t="s">
        <v>632</v>
      </c>
      <c r="CS312" s="39"/>
      <c r="CT312" s="96">
        <v>370.88228571428601</v>
      </c>
      <c r="CU312" s="92" t="s">
        <v>632</v>
      </c>
      <c r="CV312" s="39"/>
      <c r="CW312" s="41"/>
      <c r="CX312" s="39"/>
      <c r="CY312" s="39"/>
      <c r="CZ312" s="41"/>
      <c r="DA312" s="41"/>
      <c r="DB312" s="41"/>
      <c r="DC312" s="41"/>
      <c r="DD312" s="39"/>
      <c r="DE312" s="39"/>
      <c r="DF312" s="41"/>
      <c r="DG312" s="41"/>
      <c r="DH312" s="41"/>
      <c r="DI312" s="42"/>
      <c r="DJ312" s="43">
        <v>0.2</v>
      </c>
      <c r="DK312" s="43">
        <v>0.1</v>
      </c>
      <c r="DS312" s="30" t="s">
        <v>695</v>
      </c>
      <c r="DT312" s="30">
        <v>1</v>
      </c>
      <c r="DU312" s="71">
        <f t="shared" si="350"/>
        <v>21</v>
      </c>
      <c r="DV312" s="71">
        <f t="shared" si="351"/>
        <v>25</v>
      </c>
      <c r="DW312" s="30">
        <v>40</v>
      </c>
      <c r="DX312" s="30">
        <v>0.99</v>
      </c>
      <c r="DY312" s="71">
        <f t="shared" si="352"/>
        <v>39.6</v>
      </c>
      <c r="DZ312" s="30">
        <v>0.02</v>
      </c>
      <c r="EA312" s="169">
        <f t="shared" si="353"/>
        <v>1.2445714285714284</v>
      </c>
      <c r="EB312" s="169">
        <f t="shared" si="354"/>
        <v>385.81714285714281</v>
      </c>
      <c r="EC312" s="169">
        <f t="shared" si="355"/>
        <v>370.88228571428567</v>
      </c>
      <c r="ED312" s="170">
        <f t="shared" si="356"/>
        <v>406.81714285714281</v>
      </c>
      <c r="EE312" s="170">
        <f t="shared" si="356"/>
        <v>395.88228571428567</v>
      </c>
      <c r="EF312" s="42" t="s">
        <v>688</v>
      </c>
      <c r="EG312" s="30" t="s">
        <v>693</v>
      </c>
    </row>
    <row r="313" spans="17:137" s="30" customFormat="1" ht="28.15" thickBot="1">
      <c r="Q313" s="120" t="s">
        <v>690</v>
      </c>
      <c r="S313" s="143">
        <v>0.36</v>
      </c>
      <c r="T313" s="143">
        <v>305</v>
      </c>
      <c r="U313" s="146">
        <f t="shared" si="338"/>
        <v>0</v>
      </c>
      <c r="V313" s="146">
        <f t="shared" si="338"/>
        <v>0</v>
      </c>
      <c r="W313" s="146">
        <f t="shared" si="338"/>
        <v>0.3148907142857143</v>
      </c>
      <c r="X313" s="145">
        <f t="shared" si="338"/>
        <v>1.2595628571428572</v>
      </c>
      <c r="Y313" s="146">
        <f t="shared" si="338"/>
        <v>0.3148907142857143</v>
      </c>
      <c r="Z313" s="146">
        <f t="shared" si="338"/>
        <v>0</v>
      </c>
      <c r="AA313" s="146">
        <f t="shared" si="338"/>
        <v>0.6297814285714286</v>
      </c>
      <c r="AB313" s="149">
        <f t="shared" si="338"/>
        <v>4.4084700000000003</v>
      </c>
      <c r="AC313" s="146">
        <f t="shared" si="338"/>
        <v>4.4084700000000003</v>
      </c>
      <c r="AD313" s="146">
        <f t="shared" si="338"/>
        <v>0</v>
      </c>
      <c r="AE313" s="146">
        <f t="shared" si="338"/>
        <v>0</v>
      </c>
      <c r="AF313" s="146">
        <f t="shared" si="338"/>
        <v>0.37786885714285712</v>
      </c>
      <c r="AG313" s="146">
        <f t="shared" si="338"/>
        <v>0</v>
      </c>
      <c r="AH313" s="146">
        <f t="shared" si="338"/>
        <v>6.2978142857142849</v>
      </c>
      <c r="AI313" s="146">
        <v>0</v>
      </c>
      <c r="AJ313" s="153">
        <f t="shared" si="338"/>
        <v>0.6297814285714286</v>
      </c>
      <c r="AK313" s="146">
        <f t="shared" si="339"/>
        <v>0.6297814285714286</v>
      </c>
      <c r="AL313" s="156">
        <f t="shared" si="340"/>
        <v>1.1336065714285717</v>
      </c>
      <c r="AM313" s="29">
        <v>1</v>
      </c>
      <c r="AN313" s="31">
        <v>0</v>
      </c>
      <c r="AP313" s="29">
        <v>8</v>
      </c>
      <c r="AQ313" s="158">
        <v>0.3</v>
      </c>
      <c r="AR313" s="157">
        <v>2.5</v>
      </c>
      <c r="AS313" s="159">
        <v>2.5</v>
      </c>
      <c r="AT313" s="159">
        <v>0.1</v>
      </c>
      <c r="AU313" s="161">
        <f>(AS313*365)*(AT313*0.67*0.01*1)</f>
        <v>0.611375</v>
      </c>
      <c r="AV313" s="161">
        <f>(AS313*365)*(AT313*0.67*0.001*1)</f>
        <v>6.1137500000000004E-2</v>
      </c>
      <c r="AW313" s="163"/>
      <c r="AX313" s="161">
        <f>(AS313*365)*(AT313*0.67*0.02*1)</f>
        <v>1.22275</v>
      </c>
      <c r="AY313" s="161">
        <f>(AS313*365)*(AT313*0.67*0.01*1)</f>
        <v>0.611375</v>
      </c>
      <c r="AZ313" s="162">
        <f>(AR313*365)*(AS313*0.67*0.25*1)</f>
        <v>382.109375</v>
      </c>
      <c r="BA313" s="161">
        <f>(AS313*365)*(AT313*0.67*0.25*1)</f>
        <v>15.284375000000001</v>
      </c>
      <c r="BB313" s="161">
        <f>(AS313*365)*(AT313*0.67*0.73*1)</f>
        <v>44.630375000000001</v>
      </c>
      <c r="BC313" s="161">
        <f>(AS313*365)*(AT313*0.67*0.03*1)</f>
        <v>1.834125</v>
      </c>
      <c r="BD313" s="163"/>
      <c r="BE313" s="161">
        <f>(AS313*365)*(AT313*0.67*0.25*1)</f>
        <v>15.284375000000001</v>
      </c>
      <c r="BF313" s="161">
        <f t="shared" si="341"/>
        <v>61.137500000000003</v>
      </c>
      <c r="BG313" s="162">
        <f t="shared" si="342"/>
        <v>152.84375</v>
      </c>
      <c r="BH313" s="161">
        <f t="shared" si="342"/>
        <v>6.1137500000000014</v>
      </c>
      <c r="BI313" s="161">
        <f t="shared" si="343"/>
        <v>0.3056875</v>
      </c>
      <c r="BJ313" s="161">
        <f>(AS313*365)*(AT313*0.67*0.005*1)</f>
        <v>0.3056875</v>
      </c>
      <c r="BK313" s="161">
        <v>0</v>
      </c>
      <c r="BL313" s="161">
        <v>0</v>
      </c>
      <c r="BM313" s="161">
        <f>(BA313*365)*(BB313*0.67*0.25*1)</f>
        <v>41704.785927163088</v>
      </c>
      <c r="BN313" s="161">
        <f t="shared" si="344"/>
        <v>166819.14370865235</v>
      </c>
      <c r="BO313" s="162">
        <f t="shared" si="345"/>
        <v>142824.60933959964</v>
      </c>
      <c r="BP313" s="161">
        <f t="shared" si="345"/>
        <v>16681.914370865237</v>
      </c>
      <c r="BQ313" s="161">
        <f>(BA313*365)*(BB313*0.67*0.005*1)</f>
        <v>834.0957185432618</v>
      </c>
      <c r="BR313" s="161">
        <v>0</v>
      </c>
      <c r="BS313" s="161">
        <v>0</v>
      </c>
      <c r="BT313" s="160">
        <f t="shared" si="346"/>
        <v>42.647227343749996</v>
      </c>
      <c r="BU313" s="161"/>
      <c r="BV313" s="162"/>
      <c r="BW313" s="161"/>
      <c r="BX313" s="161"/>
      <c r="BY313" s="161"/>
      <c r="BZ313" s="161"/>
      <c r="CA313" s="160"/>
      <c r="CC313" s="110"/>
      <c r="CD313" s="111" t="str">
        <f t="shared" si="347"/>
        <v>Ganado No Lechero - Clima Frío</v>
      </c>
      <c r="CE313" s="92" t="s">
        <v>688</v>
      </c>
      <c r="CF313" s="165">
        <f t="shared" si="349"/>
        <v>42.647227343749996</v>
      </c>
      <c r="CG313" s="92" t="s">
        <v>636</v>
      </c>
      <c r="CH313" s="98">
        <v>0.2</v>
      </c>
      <c r="CI313" s="98">
        <v>0.5</v>
      </c>
      <c r="CJ313" s="97" t="s">
        <v>442</v>
      </c>
      <c r="CK313" s="165">
        <f t="shared" si="348"/>
        <v>1.1336065714285717</v>
      </c>
      <c r="CL313" s="92" t="s">
        <v>689</v>
      </c>
      <c r="CM313" s="98">
        <v>0.2</v>
      </c>
      <c r="CN313" s="98">
        <v>0.5</v>
      </c>
      <c r="CO313" s="97" t="s">
        <v>442</v>
      </c>
      <c r="CP313" s="39"/>
      <c r="CQ313" s="96">
        <v>0</v>
      </c>
      <c r="CR313" s="92" t="s">
        <v>632</v>
      </c>
      <c r="CS313" s="39"/>
      <c r="CT313" s="96">
        <v>236.01599999999999</v>
      </c>
      <c r="CU313" s="92" t="s">
        <v>632</v>
      </c>
      <c r="CV313" s="39"/>
      <c r="CW313" s="41"/>
      <c r="CX313" s="39"/>
      <c r="CY313" s="39"/>
      <c r="CZ313" s="41"/>
      <c r="DA313" s="41"/>
      <c r="DB313" s="41"/>
      <c r="DC313" s="41"/>
      <c r="DD313" s="39"/>
      <c r="DE313" s="39"/>
      <c r="DF313" s="41"/>
      <c r="DG313" s="41"/>
      <c r="DH313" s="41"/>
      <c r="DI313" s="42"/>
      <c r="DJ313" s="43">
        <v>0.2</v>
      </c>
      <c r="DK313" s="43">
        <v>0.1</v>
      </c>
      <c r="DS313" s="30" t="s">
        <v>687</v>
      </c>
      <c r="DT313" s="30">
        <v>0</v>
      </c>
      <c r="DU313" s="71">
        <f t="shared" si="350"/>
        <v>0</v>
      </c>
      <c r="DV313" s="71">
        <f t="shared" si="351"/>
        <v>0</v>
      </c>
      <c r="DW313" s="30">
        <v>70</v>
      </c>
      <c r="DX313" s="30">
        <v>0.36</v>
      </c>
      <c r="DY313" s="71">
        <f t="shared" si="352"/>
        <v>25.2</v>
      </c>
      <c r="DZ313" s="30">
        <v>0.02</v>
      </c>
      <c r="EA313" s="169">
        <f t="shared" si="353"/>
        <v>0.79200000000000004</v>
      </c>
      <c r="EB313" s="169">
        <f t="shared" si="354"/>
        <v>245.52</v>
      </c>
      <c r="EC313" s="169">
        <f t="shared" si="355"/>
        <v>236.01600000000002</v>
      </c>
      <c r="ED313" s="170">
        <f t="shared" si="356"/>
        <v>245.52</v>
      </c>
      <c r="EE313" s="170">
        <f t="shared" si="356"/>
        <v>236.01600000000002</v>
      </c>
      <c r="EF313" s="42" t="s">
        <v>688</v>
      </c>
      <c r="EG313" s="30" t="s">
        <v>693</v>
      </c>
    </row>
    <row r="314" spans="17:137" s="30" customFormat="1" ht="28.15" thickBot="1">
      <c r="Q314" s="120" t="s">
        <v>692</v>
      </c>
      <c r="S314" s="143">
        <v>0.36</v>
      </c>
      <c r="T314" s="143">
        <v>305</v>
      </c>
      <c r="U314" s="146">
        <f t="shared" si="338"/>
        <v>0</v>
      </c>
      <c r="V314" s="146">
        <f t="shared" si="338"/>
        <v>0</v>
      </c>
      <c r="W314" s="146">
        <f t="shared" si="338"/>
        <v>0.3148907142857143</v>
      </c>
      <c r="X314" s="145">
        <f t="shared" si="338"/>
        <v>1.2595628571428572</v>
      </c>
      <c r="Y314" s="146">
        <f t="shared" si="338"/>
        <v>0.3148907142857143</v>
      </c>
      <c r="Z314" s="146">
        <f t="shared" si="338"/>
        <v>0</v>
      </c>
      <c r="AA314" s="146">
        <f t="shared" si="338"/>
        <v>0.6297814285714286</v>
      </c>
      <c r="AB314" s="149">
        <f t="shared" si="338"/>
        <v>4.4084700000000003</v>
      </c>
      <c r="AC314" s="146">
        <f t="shared" si="338"/>
        <v>4.4084700000000003</v>
      </c>
      <c r="AD314" s="146">
        <f t="shared" si="338"/>
        <v>0</v>
      </c>
      <c r="AE314" s="146">
        <f t="shared" si="338"/>
        <v>0</v>
      </c>
      <c r="AF314" s="146">
        <f t="shared" si="338"/>
        <v>0.37786885714285712</v>
      </c>
      <c r="AG314" s="146">
        <f t="shared" si="338"/>
        <v>0</v>
      </c>
      <c r="AH314" s="146">
        <f t="shared" si="338"/>
        <v>6.2978142857142849</v>
      </c>
      <c r="AI314" s="146">
        <v>0</v>
      </c>
      <c r="AJ314" s="153">
        <f t="shared" si="338"/>
        <v>0.6297814285714286</v>
      </c>
      <c r="AK314" s="146">
        <f t="shared" si="339"/>
        <v>0.6297814285714286</v>
      </c>
      <c r="AL314" s="156">
        <f t="shared" si="340"/>
        <v>1.1336065714285717</v>
      </c>
      <c r="AM314" s="29">
        <v>1</v>
      </c>
      <c r="AN314" s="31">
        <v>0</v>
      </c>
      <c r="AP314" s="29">
        <v>21</v>
      </c>
      <c r="AQ314" s="158">
        <v>0.3</v>
      </c>
      <c r="AR314" s="157">
        <v>2.5</v>
      </c>
      <c r="AS314" s="159">
        <v>2.5</v>
      </c>
      <c r="AT314" s="159">
        <v>0.1</v>
      </c>
      <c r="AU314" s="161">
        <f>(AS314*365)*(AT314*0.67*0.015*1)</f>
        <v>0.9170625</v>
      </c>
      <c r="AV314" s="161">
        <f>(AS314*365)*(AT314*0.67*0.005*1)</f>
        <v>0.3056875</v>
      </c>
      <c r="AW314" s="163"/>
      <c r="AX314" s="161">
        <f>(AS314*365)*(AT314*0.67*0.04*1)</f>
        <v>2.4455</v>
      </c>
      <c r="AY314" s="161">
        <f>(AS314*365)*(AT314*0.67*0.015*1)</f>
        <v>0.9170625</v>
      </c>
      <c r="AZ314" s="162">
        <f>(AR314*365)*(AS314*0.67*0.65*1)</f>
        <v>993.48437500000011</v>
      </c>
      <c r="BA314" s="161">
        <f>(AS314*365)*(AT314*0.67*0.65*1)</f>
        <v>39.739375000000003</v>
      </c>
      <c r="BB314" s="161">
        <f>(AS314*365)*(AT314*0.67*0.79*1)</f>
        <v>48.298625000000001</v>
      </c>
      <c r="BC314" s="161">
        <f>(AS314*365)*(AT314*0.67*0.03*1)</f>
        <v>1.834125</v>
      </c>
      <c r="BD314" s="163"/>
      <c r="BE314" s="161">
        <f>(AS314*365)*(AT314*0.67*0.65*1)</f>
        <v>39.739375000000003</v>
      </c>
      <c r="BF314" s="161">
        <f t="shared" si="341"/>
        <v>61.137500000000003</v>
      </c>
      <c r="BG314" s="162">
        <f t="shared" si="342"/>
        <v>152.84375</v>
      </c>
      <c r="BH314" s="161">
        <f t="shared" si="342"/>
        <v>6.1137500000000014</v>
      </c>
      <c r="BI314" s="161">
        <f t="shared" si="343"/>
        <v>0.3056875</v>
      </c>
      <c r="BJ314" s="161">
        <f>(AS314*365)*(AT314*0.67*0.01*1)</f>
        <v>0.611375</v>
      </c>
      <c r="BK314" s="161">
        <v>0</v>
      </c>
      <c r="BL314" s="161">
        <v>0</v>
      </c>
      <c r="BM314" s="161">
        <f>(BA314*365)*(BB314*0.67*0.65*1)</f>
        <v>305096.21748687915</v>
      </c>
      <c r="BN314" s="161">
        <f t="shared" si="344"/>
        <v>469378.79613366019</v>
      </c>
      <c r="BO314" s="162">
        <f t="shared" si="345"/>
        <v>965494.35913569375</v>
      </c>
      <c r="BP314" s="161">
        <f t="shared" si="345"/>
        <v>46937.879613366022</v>
      </c>
      <c r="BQ314" s="161">
        <f>(BA314*365)*(BB314*0.67*0.01*1)</f>
        <v>4693.7879613366013</v>
      </c>
      <c r="BR314" s="161">
        <v>0</v>
      </c>
      <c r="BS314" s="161">
        <v>0</v>
      </c>
      <c r="BT314" s="160">
        <f t="shared" si="346"/>
        <v>84.293328125000016</v>
      </c>
      <c r="BU314" s="161"/>
      <c r="BV314" s="162"/>
      <c r="BW314" s="161"/>
      <c r="BX314" s="161"/>
      <c r="BY314" s="161"/>
      <c r="BZ314" s="161"/>
      <c r="CA314" s="160"/>
      <c r="CC314" s="110"/>
      <c r="CD314" s="111" t="str">
        <f t="shared" si="347"/>
        <v>Ganado No Lechero - Clima Templado</v>
      </c>
      <c r="CE314" s="92" t="s">
        <v>688</v>
      </c>
      <c r="CF314" s="165">
        <f t="shared" si="349"/>
        <v>84.293328125000016</v>
      </c>
      <c r="CG314" s="92" t="s">
        <v>636</v>
      </c>
      <c r="CH314" s="98">
        <v>0.2</v>
      </c>
      <c r="CI314" s="98">
        <v>0.5</v>
      </c>
      <c r="CJ314" s="97" t="s">
        <v>442</v>
      </c>
      <c r="CK314" s="165">
        <f t="shared" si="348"/>
        <v>1.1336065714285717</v>
      </c>
      <c r="CL314" s="92" t="s">
        <v>689</v>
      </c>
      <c r="CM314" s="98">
        <v>0.2</v>
      </c>
      <c r="CN314" s="98">
        <v>0.5</v>
      </c>
      <c r="CO314" s="97" t="s">
        <v>442</v>
      </c>
      <c r="CP314" s="39"/>
      <c r="CQ314" s="96">
        <v>25</v>
      </c>
      <c r="CR314" s="92" t="s">
        <v>632</v>
      </c>
      <c r="CS314" s="39"/>
      <c r="CT314" s="96">
        <v>236.01599999999999</v>
      </c>
      <c r="CU314" s="92" t="s">
        <v>632</v>
      </c>
      <c r="CV314" s="39"/>
      <c r="CW314" s="41"/>
      <c r="CX314" s="39"/>
      <c r="CY314" s="39"/>
      <c r="CZ314" s="41"/>
      <c r="DA314" s="41"/>
      <c r="DB314" s="41"/>
      <c r="DC314" s="41"/>
      <c r="DD314" s="39"/>
      <c r="DE314" s="39"/>
      <c r="DF314" s="41"/>
      <c r="DG314" s="41"/>
      <c r="DH314" s="41"/>
      <c r="DI314" s="42"/>
      <c r="DJ314" s="43">
        <v>0.2</v>
      </c>
      <c r="DK314" s="43">
        <v>0.1</v>
      </c>
      <c r="DS314" s="30" t="s">
        <v>691</v>
      </c>
      <c r="DT314" s="30">
        <v>1</v>
      </c>
      <c r="DU314" s="71">
        <f t="shared" si="350"/>
        <v>21</v>
      </c>
      <c r="DV314" s="71">
        <f t="shared" si="351"/>
        <v>25</v>
      </c>
      <c r="DW314" s="30">
        <v>70</v>
      </c>
      <c r="DX314" s="30">
        <v>0.36</v>
      </c>
      <c r="DY314" s="71">
        <f t="shared" si="352"/>
        <v>25.2</v>
      </c>
      <c r="DZ314" s="30">
        <v>0.02</v>
      </c>
      <c r="EA314" s="169">
        <f t="shared" si="353"/>
        <v>0.79200000000000004</v>
      </c>
      <c r="EB314" s="169">
        <f t="shared" si="354"/>
        <v>245.52</v>
      </c>
      <c r="EC314" s="169">
        <f t="shared" si="355"/>
        <v>236.01600000000002</v>
      </c>
      <c r="ED314" s="170">
        <f t="shared" si="356"/>
        <v>266.52</v>
      </c>
      <c r="EE314" s="170">
        <f t="shared" si="356"/>
        <v>261.01600000000002</v>
      </c>
      <c r="EF314" s="42" t="s">
        <v>688</v>
      </c>
      <c r="EG314" s="30" t="s">
        <v>693</v>
      </c>
    </row>
    <row r="315" spans="17:137" s="30" customFormat="1" ht="28.15" thickBot="1">
      <c r="Q315" s="120" t="s">
        <v>695</v>
      </c>
      <c r="S315" s="143">
        <v>0.36</v>
      </c>
      <c r="T315" s="143">
        <v>305</v>
      </c>
      <c r="U315" s="146">
        <f t="shared" si="338"/>
        <v>0</v>
      </c>
      <c r="V315" s="146">
        <f t="shared" si="338"/>
        <v>0</v>
      </c>
      <c r="W315" s="146">
        <f t="shared" si="338"/>
        <v>0.3148907142857143</v>
      </c>
      <c r="X315" s="145">
        <f t="shared" si="338"/>
        <v>1.2595628571428572</v>
      </c>
      <c r="Y315" s="146">
        <f t="shared" si="338"/>
        <v>0.3148907142857143</v>
      </c>
      <c r="Z315" s="146">
        <f t="shared" si="338"/>
        <v>0</v>
      </c>
      <c r="AA315" s="146">
        <f t="shared" si="338"/>
        <v>0.6297814285714286</v>
      </c>
      <c r="AB315" s="149">
        <f t="shared" si="338"/>
        <v>4.4084700000000003</v>
      </c>
      <c r="AC315" s="146">
        <f t="shared" si="338"/>
        <v>4.4084700000000003</v>
      </c>
      <c r="AD315" s="146">
        <f t="shared" si="338"/>
        <v>0</v>
      </c>
      <c r="AE315" s="146">
        <f t="shared" si="338"/>
        <v>0</v>
      </c>
      <c r="AF315" s="146">
        <f t="shared" si="338"/>
        <v>0.37786885714285712</v>
      </c>
      <c r="AG315" s="146">
        <f t="shared" si="338"/>
        <v>0</v>
      </c>
      <c r="AH315" s="146">
        <f t="shared" si="338"/>
        <v>6.2978142857142849</v>
      </c>
      <c r="AI315" s="146">
        <v>0</v>
      </c>
      <c r="AJ315" s="153">
        <f t="shared" si="338"/>
        <v>0.6297814285714286</v>
      </c>
      <c r="AK315" s="146">
        <f t="shared" si="339"/>
        <v>0.6297814285714286</v>
      </c>
      <c r="AL315" s="156">
        <f t="shared" si="340"/>
        <v>1.1336065714285717</v>
      </c>
      <c r="AM315" s="29">
        <v>2</v>
      </c>
      <c r="AN315" s="31">
        <v>0</v>
      </c>
      <c r="AP315" s="29">
        <v>26</v>
      </c>
      <c r="AQ315" s="158">
        <v>0.3</v>
      </c>
      <c r="AR315" s="157">
        <v>2.5</v>
      </c>
      <c r="AS315" s="159">
        <v>2.5</v>
      </c>
      <c r="AT315" s="159">
        <v>0.1</v>
      </c>
      <c r="AU315" s="161">
        <f>(AS315*365)*(AT315*0.67*0.02*1)</f>
        <v>1.22275</v>
      </c>
      <c r="AV315" s="161">
        <f>(AS315*365)*(AT315*0.67*0.01*1)</f>
        <v>0.611375</v>
      </c>
      <c r="AW315" s="163"/>
      <c r="AX315" s="161">
        <f>(AS315*365)*(AT315*0.67*0.05*1)</f>
        <v>3.0568750000000007</v>
      </c>
      <c r="AY315" s="161">
        <f>(AS315*365)*(AT315*0.67*0.02*1)</f>
        <v>1.22275</v>
      </c>
      <c r="AZ315" s="162">
        <f>(AR315*365)*(AS315*0.67*0.8*1)</f>
        <v>1222.75</v>
      </c>
      <c r="BA315" s="161">
        <f>(AS315*365)*(AT315*0.67*0.8*1)</f>
        <v>48.910000000000011</v>
      </c>
      <c r="BB315" s="161">
        <f>(AS315*365)*(AT315*0.67*0.8*1)</f>
        <v>48.910000000000011</v>
      </c>
      <c r="BC315" s="161">
        <f>(AS315*365)*(AT315*0.67*0.3*1)</f>
        <v>18.341249999999999</v>
      </c>
      <c r="BD315" s="163"/>
      <c r="BE315" s="161">
        <f>(AS315*365)*(AT315*0.67*0.8*1)</f>
        <v>48.910000000000011</v>
      </c>
      <c r="BF315" s="161">
        <f t="shared" si="341"/>
        <v>61.137500000000003</v>
      </c>
      <c r="BG315" s="162">
        <f t="shared" si="342"/>
        <v>152.84375</v>
      </c>
      <c r="BH315" s="161">
        <f t="shared" si="342"/>
        <v>6.1137500000000014</v>
      </c>
      <c r="BI315" s="161">
        <f t="shared" si="343"/>
        <v>0.3056875</v>
      </c>
      <c r="BJ315" s="161">
        <f>(AS315*365)*(AT315*0.67*0.015*1)</f>
        <v>0.9170625</v>
      </c>
      <c r="BK315" s="161">
        <v>0</v>
      </c>
      <c r="BL315" s="161">
        <v>0</v>
      </c>
      <c r="BM315" s="161">
        <f>(BA315*365)*(BB315*0.67*0.8*1)</f>
        <v>468007.67988400027</v>
      </c>
      <c r="BN315" s="161">
        <f t="shared" si="344"/>
        <v>585009.59985500027</v>
      </c>
      <c r="BO315" s="162">
        <f t="shared" si="345"/>
        <v>1462523.9996375004</v>
      </c>
      <c r="BP315" s="161">
        <f t="shared" si="345"/>
        <v>58500.959985500034</v>
      </c>
      <c r="BQ315" s="161">
        <f>(BA315*365)*(BB315*0.67*0.015*1)</f>
        <v>8775.1439978250037</v>
      </c>
      <c r="BR315" s="161">
        <v>0</v>
      </c>
      <c r="BS315" s="161">
        <v>0</v>
      </c>
      <c r="BT315" s="160">
        <f t="shared" si="346"/>
        <v>100.95329687500001</v>
      </c>
      <c r="BU315" s="161"/>
      <c r="BV315" s="162"/>
      <c r="BW315" s="161"/>
      <c r="BX315" s="161"/>
      <c r="BY315" s="161"/>
      <c r="BZ315" s="161"/>
      <c r="CA315" s="160"/>
      <c r="CC315" s="110"/>
      <c r="CD315" s="111" t="str">
        <f t="shared" si="347"/>
        <v>Ganado No Lechero - Clima Cálido</v>
      </c>
      <c r="CE315" s="92" t="s">
        <v>688</v>
      </c>
      <c r="CF315" s="165">
        <f t="shared" si="349"/>
        <v>100.95329687500001</v>
      </c>
      <c r="CG315" s="92" t="s">
        <v>636</v>
      </c>
      <c r="CH315" s="98">
        <v>0.2</v>
      </c>
      <c r="CI315" s="98">
        <v>0.5</v>
      </c>
      <c r="CJ315" s="97" t="s">
        <v>442</v>
      </c>
      <c r="CK315" s="165">
        <f t="shared" si="348"/>
        <v>1.1336065714285717</v>
      </c>
      <c r="CL315" s="92" t="s">
        <v>689</v>
      </c>
      <c r="CM315" s="98">
        <v>0.2</v>
      </c>
      <c r="CN315" s="98">
        <v>0.5</v>
      </c>
      <c r="CO315" s="97" t="s">
        <v>442</v>
      </c>
      <c r="CP315" s="39"/>
      <c r="CQ315" s="96">
        <v>50</v>
      </c>
      <c r="CR315" s="92" t="s">
        <v>632</v>
      </c>
      <c r="CS315" s="39"/>
      <c r="CT315" s="96">
        <v>236.01599999999999</v>
      </c>
      <c r="CU315" s="92" t="s">
        <v>632</v>
      </c>
      <c r="CV315" s="39"/>
      <c r="CW315" s="41"/>
      <c r="CX315" s="39"/>
      <c r="CY315" s="39"/>
      <c r="CZ315" s="41"/>
      <c r="DA315" s="41"/>
      <c r="DB315" s="41"/>
      <c r="DC315" s="41"/>
      <c r="DD315" s="39"/>
      <c r="DE315" s="39"/>
      <c r="DF315" s="41"/>
      <c r="DG315" s="41"/>
      <c r="DH315" s="41"/>
      <c r="DI315" s="42"/>
      <c r="DJ315" s="43">
        <v>0.2</v>
      </c>
      <c r="DK315" s="43">
        <v>0.1</v>
      </c>
      <c r="DS315" s="30" t="s">
        <v>694</v>
      </c>
      <c r="DT315" s="30">
        <v>2</v>
      </c>
      <c r="DU315" s="71">
        <f t="shared" si="350"/>
        <v>42</v>
      </c>
      <c r="DV315" s="71">
        <f t="shared" si="351"/>
        <v>50</v>
      </c>
      <c r="DW315" s="30">
        <v>70</v>
      </c>
      <c r="DX315" s="30">
        <v>0.36</v>
      </c>
      <c r="DY315" s="71">
        <f t="shared" si="352"/>
        <v>25.2</v>
      </c>
      <c r="DZ315" s="30">
        <v>0.02</v>
      </c>
      <c r="EA315" s="169">
        <f t="shared" si="353"/>
        <v>0.79200000000000004</v>
      </c>
      <c r="EB315" s="169">
        <f t="shared" si="354"/>
        <v>245.52</v>
      </c>
      <c r="EC315" s="169">
        <f t="shared" si="355"/>
        <v>236.01600000000002</v>
      </c>
      <c r="ED315" s="170">
        <f t="shared" si="356"/>
        <v>287.52</v>
      </c>
      <c r="EE315" s="170">
        <f t="shared" si="356"/>
        <v>286.01600000000002</v>
      </c>
      <c r="EF315" s="42" t="s">
        <v>688</v>
      </c>
      <c r="EG315" s="30" t="s">
        <v>693</v>
      </c>
    </row>
    <row r="316" spans="17:137" s="30" customFormat="1" ht="28.15" thickBot="1">
      <c r="Q316" s="120" t="s">
        <v>696</v>
      </c>
      <c r="S316" s="143">
        <v>0.82</v>
      </c>
      <c r="T316" s="143">
        <v>1.8</v>
      </c>
      <c r="U316" s="146">
        <f t="shared" si="338"/>
        <v>0</v>
      </c>
      <c r="V316" s="146">
        <f t="shared" si="338"/>
        <v>0</v>
      </c>
      <c r="W316" s="146">
        <f t="shared" si="338"/>
        <v>4.2329571428571426E-3</v>
      </c>
      <c r="X316" s="145">
        <f t="shared" si="338"/>
        <v>1.6931828571428571E-2</v>
      </c>
      <c r="Y316" s="146">
        <f t="shared" si="338"/>
        <v>4.2329571428571426E-3</v>
      </c>
      <c r="Z316" s="146">
        <f t="shared" si="338"/>
        <v>0</v>
      </c>
      <c r="AA316" s="146">
        <v>0</v>
      </c>
      <c r="AB316" s="149">
        <v>0</v>
      </c>
      <c r="AC316" s="146">
        <v>0</v>
      </c>
      <c r="AD316" s="146">
        <f t="shared" si="338"/>
        <v>0</v>
      </c>
      <c r="AE316" s="146">
        <f t="shared" si="338"/>
        <v>0</v>
      </c>
      <c r="AF316" s="146">
        <f t="shared" si="338"/>
        <v>5.0795485714285717E-3</v>
      </c>
      <c r="AG316" s="146">
        <f t="shared" si="338"/>
        <v>0</v>
      </c>
      <c r="AH316" s="146">
        <f t="shared" si="338"/>
        <v>8.4659142857142863E-2</v>
      </c>
      <c r="AI316" s="146">
        <f t="shared" si="338"/>
        <v>8.4659142857142853E-3</v>
      </c>
      <c r="AJ316" s="153">
        <f t="shared" si="338"/>
        <v>8.4659142857142853E-3</v>
      </c>
      <c r="AK316" s="146">
        <f t="shared" si="339"/>
        <v>8.4659142857142853E-3</v>
      </c>
      <c r="AL316" s="156">
        <f t="shared" si="340"/>
        <v>8.2667163025210086E-3</v>
      </c>
      <c r="AM316" s="29">
        <v>0.01</v>
      </c>
      <c r="AN316" s="29">
        <v>1.2</v>
      </c>
      <c r="AP316" s="31">
        <v>0</v>
      </c>
      <c r="AQ316" s="158">
        <v>0.3</v>
      </c>
      <c r="AR316" s="157">
        <v>0.1</v>
      </c>
      <c r="AS316" s="159">
        <v>0.1</v>
      </c>
      <c r="AT316" s="159">
        <v>0.24</v>
      </c>
      <c r="AU316" s="161">
        <f>(AS316*365)*(AT316*0.67*0.01*1)</f>
        <v>5.8692000000000001E-2</v>
      </c>
      <c r="AV316" s="161">
        <f>(AS316*365)*(AT316*0.67*0.001*1)</f>
        <v>5.8691999999999998E-3</v>
      </c>
      <c r="AW316" s="163"/>
      <c r="AX316" s="161">
        <f>(AS316*365)*(AT316*0.67*0.02*1)</f>
        <v>0.117384</v>
      </c>
      <c r="AY316" s="161">
        <f>(AS316*365)*(AT316*0.67*0.01*1)</f>
        <v>5.8692000000000001E-2</v>
      </c>
      <c r="AZ316" s="162">
        <f>(AR316*365)*(AS316*0.67*0.25*1)</f>
        <v>0.611375</v>
      </c>
      <c r="BA316" s="161">
        <f>(AS316*365)*(AT316*0.67*0.25*1)</f>
        <v>1.4673</v>
      </c>
      <c r="BB316" s="161">
        <f>(AS316*365)*(AT316*0.67*0.73*1)</f>
        <v>4.284516</v>
      </c>
      <c r="BC316" s="161">
        <v>0</v>
      </c>
      <c r="BD316" s="161" t="s">
        <v>130</v>
      </c>
      <c r="BE316" s="161">
        <v>0</v>
      </c>
      <c r="BF316" s="161">
        <f t="shared" si="341"/>
        <v>5.8692000000000002</v>
      </c>
      <c r="BG316" s="162">
        <f t="shared" si="342"/>
        <v>0.24455000000000005</v>
      </c>
      <c r="BH316" s="161">
        <f t="shared" si="342"/>
        <v>0.58692</v>
      </c>
      <c r="BI316" s="161">
        <f t="shared" si="343"/>
        <v>2.9346000000000001E-2</v>
      </c>
      <c r="BJ316" s="161">
        <f>(AS316*365)*(AT316*0.67*0.005*1)</f>
        <v>2.9346000000000001E-2</v>
      </c>
      <c r="BK316" s="161">
        <f>(AS316*365)*(AT316*0.67*0.0015*1)</f>
        <v>8.8038000000000005E-3</v>
      </c>
      <c r="BL316" s="161">
        <v>0</v>
      </c>
      <c r="BM316" s="161">
        <v>0</v>
      </c>
      <c r="BN316" s="161">
        <f t="shared" si="344"/>
        <v>1537.4052284189402</v>
      </c>
      <c r="BO316" s="162">
        <f t="shared" si="345"/>
        <v>21.937859994562501</v>
      </c>
      <c r="BP316" s="161">
        <f t="shared" si="345"/>
        <v>153.74052284189403</v>
      </c>
      <c r="BQ316" s="161">
        <f>(BA316*365)*(BB316*0.67*0.005*1)</f>
        <v>7.6870261420947017</v>
      </c>
      <c r="BR316" s="161">
        <f>(BA316*365)*(BB316*0.67*0.0015*1)</f>
        <v>2.3061078426284101</v>
      </c>
      <c r="BS316" s="161">
        <v>0</v>
      </c>
      <c r="BT316" s="160">
        <f t="shared" si="346"/>
        <v>0.83574962500000016</v>
      </c>
      <c r="BU316" s="161"/>
      <c r="BV316" s="162"/>
      <c r="BW316" s="161"/>
      <c r="BX316" s="161"/>
      <c r="BY316" s="161"/>
      <c r="BZ316" s="161"/>
      <c r="CA316" s="160"/>
      <c r="CC316" s="110"/>
      <c r="CD316" s="111" t="str">
        <f t="shared" si="347"/>
        <v>Aves de Corral - Clima Frío</v>
      </c>
      <c r="CE316" s="92" t="s">
        <v>688</v>
      </c>
      <c r="CF316" s="165">
        <f t="shared" si="349"/>
        <v>0.83574962500000016</v>
      </c>
      <c r="CG316" s="92" t="s">
        <v>636</v>
      </c>
      <c r="CH316" s="98">
        <v>0.2</v>
      </c>
      <c r="CI316" s="98">
        <v>0.5</v>
      </c>
      <c r="CJ316" s="97" t="s">
        <v>442</v>
      </c>
      <c r="CK316" s="165">
        <f t="shared" si="348"/>
        <v>8.2667163025210086E-3</v>
      </c>
      <c r="CL316" s="92" t="s">
        <v>689</v>
      </c>
      <c r="CM316" s="98">
        <v>0.2</v>
      </c>
      <c r="CN316" s="98">
        <v>0.5</v>
      </c>
      <c r="CO316" s="97" t="s">
        <v>442</v>
      </c>
      <c r="CP316" s="39"/>
      <c r="CQ316" s="96">
        <v>0.3</v>
      </c>
      <c r="CR316" s="92" t="s">
        <v>632</v>
      </c>
      <c r="CS316" s="39"/>
      <c r="CT316" s="96">
        <v>2.36016</v>
      </c>
      <c r="CU316" s="92" t="s">
        <v>632</v>
      </c>
      <c r="CV316" s="39"/>
      <c r="CW316" s="41"/>
      <c r="CX316" s="39"/>
      <c r="CY316" s="39"/>
      <c r="CZ316" s="41"/>
      <c r="DA316" s="41"/>
      <c r="DB316" s="41"/>
      <c r="DC316" s="41"/>
      <c r="DD316" s="39"/>
      <c r="DE316" s="39"/>
      <c r="DF316" s="41"/>
      <c r="DG316" s="41"/>
      <c r="DH316" s="41"/>
      <c r="DI316" s="42"/>
      <c r="DJ316" s="43">
        <v>0.2</v>
      </c>
      <c r="DK316" s="43">
        <v>0.1</v>
      </c>
      <c r="DS316" s="30" t="s">
        <v>696</v>
      </c>
      <c r="DT316" s="30">
        <v>1.2E-2</v>
      </c>
      <c r="DU316" s="71">
        <f t="shared" si="350"/>
        <v>0.252</v>
      </c>
      <c r="DV316" s="71">
        <f t="shared" si="351"/>
        <v>0.3</v>
      </c>
      <c r="DW316" s="30">
        <v>0.6</v>
      </c>
      <c r="DX316" s="30">
        <v>0.42</v>
      </c>
      <c r="DY316" s="71">
        <f t="shared" si="352"/>
        <v>0.252</v>
      </c>
      <c r="DZ316" s="30">
        <v>0.02</v>
      </c>
      <c r="EA316" s="169">
        <f t="shared" si="353"/>
        <v>7.92E-3</v>
      </c>
      <c r="EB316" s="169">
        <f t="shared" si="354"/>
        <v>2.4552</v>
      </c>
      <c r="EC316" s="169">
        <f t="shared" si="355"/>
        <v>2.36016</v>
      </c>
      <c r="ED316" s="170">
        <f t="shared" si="356"/>
        <v>2.7072000000000003</v>
      </c>
      <c r="EE316" s="170">
        <f t="shared" si="356"/>
        <v>2.6601599999999999</v>
      </c>
      <c r="EF316" s="42" t="s">
        <v>697</v>
      </c>
      <c r="EG316" s="30" t="s">
        <v>693</v>
      </c>
    </row>
    <row r="317" spans="17:137" s="30" customFormat="1" ht="28.15" thickBot="1">
      <c r="Q317" s="120" t="s">
        <v>698</v>
      </c>
      <c r="S317" s="143">
        <v>0.82</v>
      </c>
      <c r="T317" s="143">
        <v>1.8</v>
      </c>
      <c r="U317" s="146">
        <f t="shared" si="338"/>
        <v>0</v>
      </c>
      <c r="V317" s="146">
        <f t="shared" si="338"/>
        <v>0</v>
      </c>
      <c r="W317" s="146">
        <f t="shared" si="338"/>
        <v>4.2329571428571426E-3</v>
      </c>
      <c r="X317" s="145">
        <f t="shared" si="338"/>
        <v>1.6931828571428571E-2</v>
      </c>
      <c r="Y317" s="146">
        <f t="shared" si="338"/>
        <v>4.2329571428571426E-3</v>
      </c>
      <c r="Z317" s="146">
        <f t="shared" si="338"/>
        <v>0</v>
      </c>
      <c r="AA317" s="146">
        <v>0</v>
      </c>
      <c r="AB317" s="149">
        <v>0</v>
      </c>
      <c r="AC317" s="146">
        <v>0</v>
      </c>
      <c r="AD317" s="146">
        <f t="shared" si="338"/>
        <v>0</v>
      </c>
      <c r="AE317" s="146">
        <f t="shared" si="338"/>
        <v>0</v>
      </c>
      <c r="AF317" s="146">
        <f t="shared" si="338"/>
        <v>5.0795485714285717E-3</v>
      </c>
      <c r="AG317" s="146">
        <f t="shared" si="338"/>
        <v>0</v>
      </c>
      <c r="AH317" s="146">
        <f t="shared" si="338"/>
        <v>8.4659142857142863E-2</v>
      </c>
      <c r="AI317" s="146">
        <f t="shared" si="338"/>
        <v>8.4659142857142853E-3</v>
      </c>
      <c r="AJ317" s="153">
        <f t="shared" si="338"/>
        <v>8.4659142857142853E-3</v>
      </c>
      <c r="AK317" s="146">
        <f t="shared" si="339"/>
        <v>8.4659142857142853E-3</v>
      </c>
      <c r="AL317" s="156">
        <f t="shared" si="340"/>
        <v>8.2667163025210086E-3</v>
      </c>
      <c r="AM317" s="29">
        <v>0.02</v>
      </c>
      <c r="AN317" s="29">
        <v>1.4</v>
      </c>
      <c r="AP317" s="31">
        <v>0</v>
      </c>
      <c r="AQ317" s="158">
        <v>0.3</v>
      </c>
      <c r="AR317" s="157">
        <v>0.1</v>
      </c>
      <c r="AS317" s="159">
        <v>0.1</v>
      </c>
      <c r="AT317" s="159">
        <v>0.24</v>
      </c>
      <c r="AU317" s="161">
        <f>(AS317*365)*(AT317*0.67*0.015*1)</f>
        <v>8.8038000000000005E-2</v>
      </c>
      <c r="AV317" s="161">
        <f>(AS317*365)*(AT317*0.67*0.005*1)</f>
        <v>2.9346000000000001E-2</v>
      </c>
      <c r="AW317" s="163"/>
      <c r="AX317" s="161">
        <f>(AS317*365)*(AT317*0.67*0.04*1)</f>
        <v>0.234768</v>
      </c>
      <c r="AY317" s="161">
        <f>(AS317*365)*(AT317*0.67*0.015*1)</f>
        <v>8.8038000000000005E-2</v>
      </c>
      <c r="AZ317" s="162">
        <f>(AR317*365)*(AS317*0.67*0.65*1)</f>
        <v>1.5895750000000002</v>
      </c>
      <c r="BA317" s="161">
        <f>(AS317*365)*(AT317*0.67*0.65*1)</f>
        <v>3.8149800000000003</v>
      </c>
      <c r="BB317" s="161">
        <f>(AS317*365)*(AT317*0.67*0.79*1)</f>
        <v>4.6366680000000002</v>
      </c>
      <c r="BC317" s="161">
        <v>0</v>
      </c>
      <c r="BD317" s="161" t="s">
        <v>130</v>
      </c>
      <c r="BE317" s="161">
        <v>0</v>
      </c>
      <c r="BF317" s="161">
        <f t="shared" si="341"/>
        <v>5.8692000000000002</v>
      </c>
      <c r="BG317" s="162">
        <f t="shared" si="342"/>
        <v>0.24455000000000005</v>
      </c>
      <c r="BH317" s="161">
        <f t="shared" si="342"/>
        <v>0.58692</v>
      </c>
      <c r="BI317" s="161">
        <f t="shared" si="343"/>
        <v>2.9346000000000001E-2</v>
      </c>
      <c r="BJ317" s="161">
        <f>(AS317*365)*(AT317*0.67*0.01*1)</f>
        <v>5.8692000000000001E-2</v>
      </c>
      <c r="BK317" s="161">
        <f>(AS317*365)*(AT317*0.67*0.0015*1)</f>
        <v>8.8038000000000005E-3</v>
      </c>
      <c r="BL317" s="161">
        <v>0</v>
      </c>
      <c r="BM317" s="161">
        <v>0</v>
      </c>
      <c r="BN317" s="161">
        <f t="shared" si="344"/>
        <v>4325.7949851678131</v>
      </c>
      <c r="BO317" s="162">
        <f t="shared" si="345"/>
        <v>148.29993356324255</v>
      </c>
      <c r="BP317" s="161">
        <f t="shared" si="345"/>
        <v>432.57949851678131</v>
      </c>
      <c r="BQ317" s="161">
        <f>(BA317*365)*(BB317*0.67*0.01*1)</f>
        <v>43.257949851678127</v>
      </c>
      <c r="BR317" s="161">
        <f>(BA317*365)*(BB317*0.67*0.0015*1)</f>
        <v>6.4886924777517194</v>
      </c>
      <c r="BS317" s="161">
        <v>0</v>
      </c>
      <c r="BT317" s="160">
        <f t="shared" si="346"/>
        <v>1.0799327999999999</v>
      </c>
      <c r="BU317" s="161"/>
      <c r="BV317" s="162"/>
      <c r="BW317" s="161"/>
      <c r="BX317" s="161"/>
      <c r="BY317" s="161"/>
      <c r="BZ317" s="161"/>
      <c r="CA317" s="160"/>
      <c r="CC317" s="110"/>
      <c r="CD317" s="111" t="str">
        <f t="shared" si="347"/>
        <v>Aves de Corral - Clima Templado</v>
      </c>
      <c r="CE317" s="92" t="s">
        <v>688</v>
      </c>
      <c r="CF317" s="165">
        <f t="shared" si="349"/>
        <v>1.0799327999999999</v>
      </c>
      <c r="CG317" s="92" t="s">
        <v>636</v>
      </c>
      <c r="CH317" s="98">
        <v>0.2</v>
      </c>
      <c r="CI317" s="98">
        <v>0.5</v>
      </c>
      <c r="CJ317" s="97" t="s">
        <v>442</v>
      </c>
      <c r="CK317" s="165">
        <f t="shared" si="348"/>
        <v>8.2667163025210086E-3</v>
      </c>
      <c r="CL317" s="92" t="s">
        <v>689</v>
      </c>
      <c r="CM317" s="98">
        <v>0.2</v>
      </c>
      <c r="CN317" s="98">
        <v>0.5</v>
      </c>
      <c r="CO317" s="97" t="s">
        <v>442</v>
      </c>
      <c r="CP317" s="39"/>
      <c r="CQ317" s="96">
        <v>0.45</v>
      </c>
      <c r="CR317" s="92" t="s">
        <v>632</v>
      </c>
      <c r="CS317" s="39"/>
      <c r="CT317" s="96">
        <v>2.36016</v>
      </c>
      <c r="CU317" s="92" t="s">
        <v>632</v>
      </c>
      <c r="CV317" s="39"/>
      <c r="CW317" s="41"/>
      <c r="CX317" s="39"/>
      <c r="CY317" s="39"/>
      <c r="CZ317" s="41"/>
      <c r="DA317" s="41"/>
      <c r="DB317" s="41"/>
      <c r="DC317" s="41"/>
      <c r="DD317" s="39"/>
      <c r="DE317" s="39"/>
      <c r="DF317" s="41"/>
      <c r="DG317" s="41"/>
      <c r="DH317" s="41"/>
      <c r="DI317" s="42"/>
      <c r="DJ317" s="43">
        <v>0.2</v>
      </c>
      <c r="DK317" s="43">
        <v>0.1</v>
      </c>
      <c r="DS317" s="30" t="s">
        <v>698</v>
      </c>
      <c r="DT317" s="30">
        <v>1.7999999999999999E-2</v>
      </c>
      <c r="DU317" s="71">
        <f t="shared" si="350"/>
        <v>0.37799999999999995</v>
      </c>
      <c r="DV317" s="71">
        <f t="shared" si="351"/>
        <v>0.44999999999999996</v>
      </c>
      <c r="DW317" s="30">
        <v>0.6</v>
      </c>
      <c r="DX317" s="30">
        <v>0.42</v>
      </c>
      <c r="DY317" s="71">
        <f t="shared" si="352"/>
        <v>0.252</v>
      </c>
      <c r="DZ317" s="30">
        <v>0.02</v>
      </c>
      <c r="EA317" s="169">
        <f t="shared" si="353"/>
        <v>7.92E-3</v>
      </c>
      <c r="EB317" s="169">
        <f t="shared" si="354"/>
        <v>2.4552</v>
      </c>
      <c r="EC317" s="169">
        <f t="shared" si="355"/>
        <v>2.36016</v>
      </c>
      <c r="ED317" s="170">
        <f t="shared" si="356"/>
        <v>2.8332000000000002</v>
      </c>
      <c r="EE317" s="170">
        <f t="shared" si="356"/>
        <v>2.8101599999999998</v>
      </c>
      <c r="EF317" s="42" t="s">
        <v>697</v>
      </c>
      <c r="EG317" s="30" t="s">
        <v>699</v>
      </c>
    </row>
    <row r="318" spans="17:137" s="30" customFormat="1" ht="28.15" thickBot="1">
      <c r="Q318" s="120" t="s">
        <v>700</v>
      </c>
      <c r="S318" s="143">
        <v>0.82</v>
      </c>
      <c r="T318" s="143">
        <v>1.8</v>
      </c>
      <c r="U318" s="146">
        <f t="shared" si="338"/>
        <v>0</v>
      </c>
      <c r="V318" s="146">
        <f t="shared" si="338"/>
        <v>0</v>
      </c>
      <c r="W318" s="146">
        <f t="shared" si="338"/>
        <v>4.2329571428571426E-3</v>
      </c>
      <c r="X318" s="145">
        <f t="shared" si="338"/>
        <v>1.6931828571428571E-2</v>
      </c>
      <c r="Y318" s="146">
        <f t="shared" si="338"/>
        <v>4.2329571428571426E-3</v>
      </c>
      <c r="Z318" s="146">
        <f t="shared" si="338"/>
        <v>0</v>
      </c>
      <c r="AA318" s="146">
        <v>0</v>
      </c>
      <c r="AB318" s="149">
        <v>0</v>
      </c>
      <c r="AC318" s="146">
        <v>0</v>
      </c>
      <c r="AD318" s="146">
        <f t="shared" si="338"/>
        <v>0</v>
      </c>
      <c r="AE318" s="146">
        <f t="shared" si="338"/>
        <v>0</v>
      </c>
      <c r="AF318" s="146">
        <f t="shared" si="338"/>
        <v>5.0795485714285717E-3</v>
      </c>
      <c r="AG318" s="146">
        <f t="shared" si="338"/>
        <v>0</v>
      </c>
      <c r="AH318" s="146">
        <f t="shared" si="338"/>
        <v>8.4659142857142863E-2</v>
      </c>
      <c r="AI318" s="146">
        <f t="shared" si="338"/>
        <v>8.4659142857142853E-3</v>
      </c>
      <c r="AJ318" s="153">
        <f t="shared" si="338"/>
        <v>8.4659142857142853E-3</v>
      </c>
      <c r="AK318" s="146">
        <f t="shared" si="339"/>
        <v>8.4659142857142853E-3</v>
      </c>
      <c r="AL318" s="156">
        <f t="shared" si="340"/>
        <v>8.2667163025210086E-3</v>
      </c>
      <c r="AM318" s="29">
        <v>0.02</v>
      </c>
      <c r="AN318" s="29">
        <v>1.4</v>
      </c>
      <c r="AP318" s="31">
        <v>0</v>
      </c>
      <c r="AQ318" s="158">
        <v>0.3</v>
      </c>
      <c r="AR318" s="157">
        <v>0.1</v>
      </c>
      <c r="AS318" s="159">
        <v>0.1</v>
      </c>
      <c r="AT318" s="159">
        <v>0.24</v>
      </c>
      <c r="AU318" s="161">
        <f>(AS318*365)*(AT318*0.67*0.02*1)</f>
        <v>0.117384</v>
      </c>
      <c r="AV318" s="161">
        <f>(AS318*365)*(AT318*0.67*0.01*1)</f>
        <v>5.8692000000000001E-2</v>
      </c>
      <c r="AW318" s="163"/>
      <c r="AX318" s="161">
        <f>(AS318*365)*(AT318*0.67*0.05*1)</f>
        <v>0.29346</v>
      </c>
      <c r="AY318" s="161">
        <f>(AS318*365)*(AT318*0.67*0.02*1)</f>
        <v>0.117384</v>
      </c>
      <c r="AZ318" s="162">
        <f>(AR318*365)*(AS318*0.67*0.8*1)</f>
        <v>1.9564000000000004</v>
      </c>
      <c r="BA318" s="161">
        <f>(AS318*365)*(AT318*0.67*0.8*1)</f>
        <v>4.69536</v>
      </c>
      <c r="BB318" s="161">
        <f>(AS318*365)*(AT318*0.67*0.8*1)</f>
        <v>4.69536</v>
      </c>
      <c r="BC318" s="161">
        <v>0</v>
      </c>
      <c r="BD318" s="161" t="s">
        <v>130</v>
      </c>
      <c r="BE318" s="161">
        <v>0</v>
      </c>
      <c r="BF318" s="161">
        <f t="shared" si="341"/>
        <v>5.8692000000000002</v>
      </c>
      <c r="BG318" s="162">
        <f t="shared" si="342"/>
        <v>0.24455000000000005</v>
      </c>
      <c r="BH318" s="161">
        <f t="shared" si="342"/>
        <v>0.58692</v>
      </c>
      <c r="BI318" s="161">
        <f t="shared" si="343"/>
        <v>2.9346000000000001E-2</v>
      </c>
      <c r="BJ318" s="161">
        <f>(AS318*365)*(AT318*0.67*0.015*1)</f>
        <v>8.8038000000000005E-2</v>
      </c>
      <c r="BK318" s="161">
        <f>(AS318*365)*(AT318*0.67*0.0015*1)</f>
        <v>8.8038000000000005E-3</v>
      </c>
      <c r="BL318" s="161">
        <v>0</v>
      </c>
      <c r="BM318" s="161">
        <v>0</v>
      </c>
      <c r="BN318" s="161">
        <f t="shared" si="344"/>
        <v>5391.4484722636807</v>
      </c>
      <c r="BO318" s="162">
        <f t="shared" si="345"/>
        <v>224.64368634432009</v>
      </c>
      <c r="BP318" s="161">
        <f t="shared" si="345"/>
        <v>539.14484722636803</v>
      </c>
      <c r="BQ318" s="161">
        <f>(BA318*365)*(BB318*0.67*0.015*1)</f>
        <v>80.871727083955193</v>
      </c>
      <c r="BR318" s="161">
        <f>(BA318*365)*(BB318*0.67*0.0015*1)</f>
        <v>8.0871727083955207</v>
      </c>
      <c r="BS318" s="161">
        <v>0</v>
      </c>
      <c r="BT318" s="160">
        <f t="shared" si="346"/>
        <v>1.1725561124999999</v>
      </c>
      <c r="BU318" s="161"/>
      <c r="BV318" s="162"/>
      <c r="BW318" s="161"/>
      <c r="BX318" s="161"/>
      <c r="BY318" s="161"/>
      <c r="BZ318" s="161"/>
      <c r="CA318" s="160"/>
      <c r="CC318" s="110"/>
      <c r="CD318" s="111" t="str">
        <f t="shared" si="347"/>
        <v>Aves de Corral - Clima Cálido</v>
      </c>
      <c r="CE318" s="92" t="s">
        <v>688</v>
      </c>
      <c r="CF318" s="165">
        <f t="shared" si="349"/>
        <v>1.1725561124999999</v>
      </c>
      <c r="CG318" s="92" t="s">
        <v>636</v>
      </c>
      <c r="CH318" s="98">
        <v>0.2</v>
      </c>
      <c r="CI318" s="98">
        <v>0.5</v>
      </c>
      <c r="CJ318" s="97" t="s">
        <v>442</v>
      </c>
      <c r="CK318" s="165">
        <f t="shared" si="348"/>
        <v>8.2667163025210086E-3</v>
      </c>
      <c r="CL318" s="92" t="s">
        <v>689</v>
      </c>
      <c r="CM318" s="98">
        <v>0.2</v>
      </c>
      <c r="CN318" s="98">
        <v>0.5</v>
      </c>
      <c r="CO318" s="97" t="s">
        <v>442</v>
      </c>
      <c r="CP318" s="39"/>
      <c r="CQ318" s="96">
        <v>0.57499999999999996</v>
      </c>
      <c r="CR318" s="92" t="s">
        <v>632</v>
      </c>
      <c r="CS318" s="39"/>
      <c r="CT318" s="96">
        <v>2.36016</v>
      </c>
      <c r="CU318" s="92" t="s">
        <v>632</v>
      </c>
      <c r="CV318" s="39"/>
      <c r="CW318" s="41"/>
      <c r="CX318" s="39"/>
      <c r="CY318" s="39"/>
      <c r="CZ318" s="41"/>
      <c r="DA318" s="41"/>
      <c r="DB318" s="41"/>
      <c r="DC318" s="41"/>
      <c r="DD318" s="39"/>
      <c r="DE318" s="39"/>
      <c r="DF318" s="41"/>
      <c r="DG318" s="41"/>
      <c r="DH318" s="41"/>
      <c r="DI318" s="42"/>
      <c r="DJ318" s="43">
        <v>0.2</v>
      </c>
      <c r="DK318" s="43">
        <v>0.1</v>
      </c>
      <c r="DS318" s="30" t="s">
        <v>700</v>
      </c>
      <c r="DT318" s="30">
        <v>2.3E-2</v>
      </c>
      <c r="DU318" s="71">
        <f t="shared" si="350"/>
        <v>0.48299999999999998</v>
      </c>
      <c r="DV318" s="71">
        <f t="shared" si="351"/>
        <v>0.57499999999999996</v>
      </c>
      <c r="DW318" s="30">
        <v>0.6</v>
      </c>
      <c r="DX318" s="30">
        <v>0.42</v>
      </c>
      <c r="DY318" s="71">
        <f t="shared" si="352"/>
        <v>0.252</v>
      </c>
      <c r="DZ318" s="30">
        <v>0.02</v>
      </c>
      <c r="EA318" s="169">
        <f t="shared" si="353"/>
        <v>7.92E-3</v>
      </c>
      <c r="EB318" s="169">
        <f t="shared" si="354"/>
        <v>2.4552</v>
      </c>
      <c r="EC318" s="169">
        <f t="shared" si="355"/>
        <v>2.36016</v>
      </c>
      <c r="ED318" s="170">
        <f t="shared" si="356"/>
        <v>2.9382000000000001</v>
      </c>
      <c r="EE318" s="170">
        <f t="shared" si="356"/>
        <v>2.9351599999999998</v>
      </c>
      <c r="EF318" s="42" t="s">
        <v>697</v>
      </c>
      <c r="EG318" s="30" t="s">
        <v>699</v>
      </c>
    </row>
    <row r="319" spans="17:137" s="30" customFormat="1" ht="28.15" thickBot="1">
      <c r="Q319" s="120" t="s">
        <v>701</v>
      </c>
      <c r="S319" s="143">
        <v>1.17</v>
      </c>
      <c r="T319" s="143">
        <v>28</v>
      </c>
      <c r="U319" s="146">
        <f t="shared" si="338"/>
        <v>0</v>
      </c>
      <c r="V319" s="146">
        <f t="shared" si="338"/>
        <v>0</v>
      </c>
      <c r="W319" s="146">
        <f t="shared" si="338"/>
        <v>9.3950999999999993E-2</v>
      </c>
      <c r="X319" s="145">
        <f t="shared" si="338"/>
        <v>0.37580399999999997</v>
      </c>
      <c r="Y319" s="146">
        <f t="shared" si="338"/>
        <v>9.3950999999999993E-2</v>
      </c>
      <c r="Z319" s="146">
        <f t="shared" si="338"/>
        <v>0</v>
      </c>
      <c r="AA319" s="146">
        <f t="shared" si="338"/>
        <v>0.18790199999999999</v>
      </c>
      <c r="AB319" s="149">
        <f t="shared" si="338"/>
        <v>1.3153140000000001</v>
      </c>
      <c r="AC319" s="146">
        <f t="shared" si="338"/>
        <v>1.3153140000000001</v>
      </c>
      <c r="AD319" s="146">
        <f t="shared" si="338"/>
        <v>0</v>
      </c>
      <c r="AE319" s="146">
        <f t="shared" si="338"/>
        <v>0</v>
      </c>
      <c r="AF319" s="146">
        <f t="shared" si="338"/>
        <v>0.1127412</v>
      </c>
      <c r="AG319" s="146">
        <f t="shared" si="338"/>
        <v>0</v>
      </c>
      <c r="AH319" s="146">
        <f t="shared" si="338"/>
        <v>1.8790199999999999</v>
      </c>
      <c r="AI319" s="146">
        <v>0</v>
      </c>
      <c r="AJ319" s="153">
        <f t="shared" si="338"/>
        <v>0.18790199999999999</v>
      </c>
      <c r="AK319" s="146">
        <f t="shared" si="339"/>
        <v>0.18790199999999999</v>
      </c>
      <c r="AL319" s="156">
        <f t="shared" si="340"/>
        <v>0.33822360000000001</v>
      </c>
      <c r="AM319" s="29">
        <v>0.1</v>
      </c>
      <c r="AN319" s="31">
        <v>0</v>
      </c>
      <c r="AP319" s="31">
        <v>0</v>
      </c>
      <c r="AQ319" s="158">
        <v>0.3</v>
      </c>
      <c r="AR319" s="157">
        <v>0.32</v>
      </c>
      <c r="AS319" s="159">
        <v>0.32</v>
      </c>
      <c r="AT319" s="159">
        <v>0.13</v>
      </c>
      <c r="AU319" s="161">
        <f>(AS319*365)*(AT319*0.67*0.01*1)</f>
        <v>0.10173280000000001</v>
      </c>
      <c r="AV319" s="161">
        <f>(AS319*365)*(AT319*0.67*0.001*1)</f>
        <v>1.0173280000000002E-2</v>
      </c>
      <c r="AW319" s="163"/>
      <c r="AX319" s="161">
        <f>(AS319*365)*(AT319*0.67*0.02*1)</f>
        <v>0.20346560000000002</v>
      </c>
      <c r="AY319" s="161">
        <f>(AS319*365)*(AT319*0.67*0.01*1)</f>
        <v>0.10173280000000001</v>
      </c>
      <c r="AZ319" s="162">
        <f>(AR319*365)*(AS319*0.67*0.25*1)</f>
        <v>6.2604800000000003</v>
      </c>
      <c r="BA319" s="161">
        <f>(AS319*365)*(AT319*0.67*0.25*1)</f>
        <v>2.5433200000000005</v>
      </c>
      <c r="BB319" s="161">
        <f>(AS319*365)*(AT319*0.67*0.73*1)</f>
        <v>7.4264944000000002</v>
      </c>
      <c r="BC319" s="161">
        <f>(AS319*365)*(AT319*0.67*0.03*1)</f>
        <v>0.30519840000000004</v>
      </c>
      <c r="BD319" s="163"/>
      <c r="BE319" s="161">
        <f>(AS319*365)*(AT319*0.67*0.25*1)</f>
        <v>2.5433200000000005</v>
      </c>
      <c r="BF319" s="161">
        <f t="shared" si="341"/>
        <v>10.173280000000002</v>
      </c>
      <c r="BG319" s="162">
        <f t="shared" si="342"/>
        <v>2.5041920000000002</v>
      </c>
      <c r="BH319" s="161">
        <f t="shared" si="342"/>
        <v>1.017328</v>
      </c>
      <c r="BI319" s="161">
        <f t="shared" si="343"/>
        <v>5.0866400000000006E-2</v>
      </c>
      <c r="BJ319" s="161">
        <f>(AS319*365)*(AT319*0.67*0.005*1)</f>
        <v>5.0866400000000006E-2</v>
      </c>
      <c r="BK319" s="161">
        <v>0</v>
      </c>
      <c r="BL319" s="161">
        <v>0</v>
      </c>
      <c r="BM319" s="161">
        <f>(BA319*365)*(BB319*0.67*0.25*1)</f>
        <v>1154.7621493457821</v>
      </c>
      <c r="BN319" s="161">
        <f t="shared" si="344"/>
        <v>4619.0485973831283</v>
      </c>
      <c r="BO319" s="162">
        <f t="shared" si="345"/>
        <v>389.38238966348814</v>
      </c>
      <c r="BP319" s="161">
        <f t="shared" si="345"/>
        <v>461.90485973831284</v>
      </c>
      <c r="BQ319" s="161">
        <f>(BA319*365)*(BB319*0.67*0.005*1)</f>
        <v>23.09524298691564</v>
      </c>
      <c r="BR319" s="161">
        <v>0</v>
      </c>
      <c r="BS319" s="161">
        <v>0</v>
      </c>
      <c r="BT319" s="160">
        <f t="shared" si="346"/>
        <v>2.0807781299999997</v>
      </c>
      <c r="BU319" s="161"/>
      <c r="BV319" s="162"/>
      <c r="BW319" s="161"/>
      <c r="BX319" s="161"/>
      <c r="BY319" s="161"/>
      <c r="BZ319" s="161"/>
      <c r="CA319" s="160"/>
      <c r="CC319" s="110"/>
      <c r="CD319" s="111" t="str">
        <f t="shared" si="347"/>
        <v>Ovejas - Clima Frío</v>
      </c>
      <c r="CE319" s="92" t="s">
        <v>688</v>
      </c>
      <c r="CF319" s="165">
        <f t="shared" si="349"/>
        <v>2.0807781299999997</v>
      </c>
      <c r="CG319" s="92" t="s">
        <v>636</v>
      </c>
      <c r="CH319" s="98">
        <v>0.2</v>
      </c>
      <c r="CI319" s="98">
        <v>0.5</v>
      </c>
      <c r="CJ319" s="97" t="s">
        <v>442</v>
      </c>
      <c r="CK319" s="165">
        <f t="shared" si="348"/>
        <v>0.33822360000000001</v>
      </c>
      <c r="CL319" s="92" t="s">
        <v>689</v>
      </c>
      <c r="CM319" s="98">
        <v>0.2</v>
      </c>
      <c r="CN319" s="98">
        <v>0.5</v>
      </c>
      <c r="CO319" s="97" t="s">
        <v>442</v>
      </c>
      <c r="CP319" s="39"/>
      <c r="CQ319" s="96">
        <v>2.5</v>
      </c>
      <c r="CR319" s="92" t="s">
        <v>632</v>
      </c>
      <c r="CS319" s="39"/>
      <c r="CT319" s="96">
        <v>112.388571428571</v>
      </c>
      <c r="CU319" s="92" t="s">
        <v>632</v>
      </c>
      <c r="CV319" s="39"/>
      <c r="CW319" s="41"/>
      <c r="CX319" s="39"/>
      <c r="CY319" s="39"/>
      <c r="CZ319" s="41"/>
      <c r="DA319" s="41"/>
      <c r="DB319" s="41"/>
      <c r="DC319" s="41"/>
      <c r="DD319" s="39"/>
      <c r="DE319" s="39"/>
      <c r="DF319" s="41"/>
      <c r="DG319" s="41"/>
      <c r="DH319" s="41"/>
      <c r="DI319" s="42"/>
      <c r="DJ319" s="43">
        <v>0.2</v>
      </c>
      <c r="DK319" s="43">
        <v>0.25</v>
      </c>
      <c r="DS319" s="30" t="s">
        <v>701</v>
      </c>
      <c r="DT319" s="30">
        <v>0.1</v>
      </c>
      <c r="DU319" s="71">
        <f t="shared" si="350"/>
        <v>2.1</v>
      </c>
      <c r="DV319" s="71">
        <f t="shared" si="351"/>
        <v>2.5</v>
      </c>
      <c r="DW319" s="30">
        <v>12</v>
      </c>
      <c r="DX319" s="30">
        <v>1</v>
      </c>
      <c r="DY319" s="71">
        <f t="shared" si="352"/>
        <v>12</v>
      </c>
      <c r="DZ319" s="30">
        <v>0.02</v>
      </c>
      <c r="EA319" s="169">
        <f t="shared" si="353"/>
        <v>0.37714285714285711</v>
      </c>
      <c r="EB319" s="169">
        <f t="shared" si="354"/>
        <v>116.91428571428571</v>
      </c>
      <c r="EC319" s="169">
        <f t="shared" si="355"/>
        <v>112.38857142857142</v>
      </c>
      <c r="ED319" s="170">
        <f t="shared" si="356"/>
        <v>119.01428571428571</v>
      </c>
      <c r="EE319" s="170">
        <f t="shared" si="356"/>
        <v>114.88857142857142</v>
      </c>
      <c r="EF319" s="42" t="s">
        <v>688</v>
      </c>
      <c r="EG319" s="30" t="s">
        <v>699</v>
      </c>
    </row>
    <row r="320" spans="17:137" s="30" customFormat="1" ht="28.15" thickBot="1">
      <c r="Q320" s="120" t="s">
        <v>702</v>
      </c>
      <c r="S320" s="143">
        <v>1.17</v>
      </c>
      <c r="T320" s="143">
        <v>28</v>
      </c>
      <c r="U320" s="146">
        <f t="shared" si="338"/>
        <v>0</v>
      </c>
      <c r="V320" s="146">
        <f t="shared" si="338"/>
        <v>0</v>
      </c>
      <c r="W320" s="146">
        <f t="shared" si="338"/>
        <v>9.3950999999999993E-2</v>
      </c>
      <c r="X320" s="145">
        <f t="shared" si="338"/>
        <v>0.37580399999999997</v>
      </c>
      <c r="Y320" s="146">
        <f t="shared" si="338"/>
        <v>9.3950999999999993E-2</v>
      </c>
      <c r="Z320" s="146">
        <f t="shared" si="338"/>
        <v>0</v>
      </c>
      <c r="AA320" s="146">
        <f t="shared" si="338"/>
        <v>0.18790199999999999</v>
      </c>
      <c r="AB320" s="149">
        <f t="shared" si="338"/>
        <v>1.3153140000000001</v>
      </c>
      <c r="AC320" s="146">
        <f t="shared" si="338"/>
        <v>1.3153140000000001</v>
      </c>
      <c r="AD320" s="146">
        <f t="shared" si="338"/>
        <v>0</v>
      </c>
      <c r="AE320" s="146">
        <f t="shared" si="338"/>
        <v>0</v>
      </c>
      <c r="AF320" s="146">
        <f t="shared" si="338"/>
        <v>0.1127412</v>
      </c>
      <c r="AG320" s="146">
        <f t="shared" si="338"/>
        <v>0</v>
      </c>
      <c r="AH320" s="146">
        <f t="shared" si="338"/>
        <v>1.8790199999999999</v>
      </c>
      <c r="AI320" s="146">
        <v>0</v>
      </c>
      <c r="AJ320" s="153">
        <f t="shared" si="338"/>
        <v>0.18790199999999999</v>
      </c>
      <c r="AK320" s="146">
        <f t="shared" si="339"/>
        <v>0.18790199999999999</v>
      </c>
      <c r="AL320" s="156">
        <f t="shared" si="340"/>
        <v>0.33822360000000001</v>
      </c>
      <c r="AM320" s="29">
        <v>0.15</v>
      </c>
      <c r="AN320" s="31">
        <v>0</v>
      </c>
      <c r="AP320" s="31">
        <v>0</v>
      </c>
      <c r="AQ320" s="158">
        <v>0.3</v>
      </c>
      <c r="AR320" s="157">
        <v>0.32</v>
      </c>
      <c r="AS320" s="159">
        <v>0.32</v>
      </c>
      <c r="AT320" s="159">
        <v>0.13</v>
      </c>
      <c r="AU320" s="161">
        <f>(AS320*365)*(AT320*0.67*0.015*1)</f>
        <v>0.15259920000000002</v>
      </c>
      <c r="AV320" s="161">
        <f>(AS320*365)*(AT320*0.67*0.005*1)</f>
        <v>5.0866400000000006E-2</v>
      </c>
      <c r="AW320" s="163"/>
      <c r="AX320" s="161">
        <f>(AS320*365)*(AT320*0.67*0.04*1)</f>
        <v>0.40693120000000005</v>
      </c>
      <c r="AY320" s="161">
        <f>(AS320*365)*(AT320*0.67*0.015*1)</f>
        <v>0.15259920000000002</v>
      </c>
      <c r="AZ320" s="162">
        <f>(AR320*365)*(AS320*0.67*0.65*1)</f>
        <v>16.277248</v>
      </c>
      <c r="BA320" s="161">
        <f>(AS320*365)*(AT320*0.67*0.65*1)</f>
        <v>6.6126320000000005</v>
      </c>
      <c r="BB320" s="161">
        <f>(AS320*365)*(AT320*0.67*0.79*1)</f>
        <v>8.0368912000000012</v>
      </c>
      <c r="BC320" s="161">
        <f>(AS320*365)*(AT320*0.67*0.03*1)</f>
        <v>0.30519840000000004</v>
      </c>
      <c r="BD320" s="163"/>
      <c r="BE320" s="161">
        <f>(AS320*365)*(AT320*0.67*0.65*1)</f>
        <v>6.6126320000000005</v>
      </c>
      <c r="BF320" s="161">
        <f t="shared" si="341"/>
        <v>10.173280000000002</v>
      </c>
      <c r="BG320" s="162">
        <f t="shared" si="342"/>
        <v>2.5041920000000002</v>
      </c>
      <c r="BH320" s="161">
        <f t="shared" si="342"/>
        <v>1.017328</v>
      </c>
      <c r="BI320" s="161">
        <f t="shared" si="343"/>
        <v>5.0866400000000006E-2</v>
      </c>
      <c r="BJ320" s="161">
        <f>(AS320*365)*(AT320*0.67*0.01*1)</f>
        <v>0.10173280000000001</v>
      </c>
      <c r="BK320" s="161">
        <v>0</v>
      </c>
      <c r="BL320" s="161">
        <v>0</v>
      </c>
      <c r="BM320" s="161">
        <f>(BA320*365)*(BB320*0.67*0.65*1)</f>
        <v>8447.7969621454977</v>
      </c>
      <c r="BN320" s="161">
        <f t="shared" si="344"/>
        <v>12996.610710993074</v>
      </c>
      <c r="BO320" s="162">
        <f t="shared" si="345"/>
        <v>2632.2249541251795</v>
      </c>
      <c r="BP320" s="161">
        <f t="shared" si="345"/>
        <v>1299.6610710993075</v>
      </c>
      <c r="BQ320" s="161">
        <f>(BA320*365)*(BB320*0.67*0.01*1)</f>
        <v>129.96610710993073</v>
      </c>
      <c r="BR320" s="161">
        <v>0</v>
      </c>
      <c r="BS320" s="161">
        <v>0</v>
      </c>
      <c r="BT320" s="160">
        <f t="shared" si="346"/>
        <v>3.2784373000000007</v>
      </c>
      <c r="BU320" s="161"/>
      <c r="BV320" s="162"/>
      <c r="BW320" s="161"/>
      <c r="BX320" s="161"/>
      <c r="BY320" s="161"/>
      <c r="BZ320" s="161"/>
      <c r="CA320" s="160"/>
      <c r="CC320" s="110"/>
      <c r="CD320" s="111" t="str">
        <f t="shared" si="347"/>
        <v>Ovejas - Clima Templado</v>
      </c>
      <c r="CE320" s="92" t="s">
        <v>688</v>
      </c>
      <c r="CF320" s="165">
        <f t="shared" si="349"/>
        <v>3.2784373000000007</v>
      </c>
      <c r="CG320" s="92" t="s">
        <v>636</v>
      </c>
      <c r="CH320" s="98">
        <v>0.2</v>
      </c>
      <c r="CI320" s="98">
        <v>0.5</v>
      </c>
      <c r="CJ320" s="97" t="s">
        <v>442</v>
      </c>
      <c r="CK320" s="165">
        <f t="shared" si="348"/>
        <v>0.33822360000000001</v>
      </c>
      <c r="CL320" s="92" t="s">
        <v>689</v>
      </c>
      <c r="CM320" s="98">
        <v>0.2</v>
      </c>
      <c r="CN320" s="98">
        <v>0.5</v>
      </c>
      <c r="CO320" s="97" t="s">
        <v>442</v>
      </c>
      <c r="CP320" s="41"/>
      <c r="CQ320" s="96">
        <v>4</v>
      </c>
      <c r="CR320" s="92" t="s">
        <v>632</v>
      </c>
      <c r="CS320" s="41"/>
      <c r="CT320" s="96">
        <v>112.388571428571</v>
      </c>
      <c r="CU320" s="92" t="s">
        <v>632</v>
      </c>
      <c r="CV320" s="39"/>
      <c r="CW320" s="41"/>
      <c r="CX320" s="39"/>
      <c r="CY320" s="39"/>
      <c r="CZ320" s="41"/>
      <c r="DA320" s="41"/>
      <c r="DB320" s="41"/>
      <c r="DC320" s="41"/>
      <c r="DD320" s="39"/>
      <c r="DE320" s="39"/>
      <c r="DF320" s="41"/>
      <c r="DG320" s="41"/>
      <c r="DH320" s="41"/>
      <c r="DI320" s="42"/>
      <c r="DJ320" s="43">
        <v>0.2</v>
      </c>
      <c r="DK320" s="43">
        <v>0.25</v>
      </c>
      <c r="DS320" s="30" t="s">
        <v>702</v>
      </c>
      <c r="DT320" s="30">
        <v>0.16</v>
      </c>
      <c r="DU320" s="71">
        <f t="shared" si="350"/>
        <v>3.36</v>
      </c>
      <c r="DV320" s="71">
        <f t="shared" si="351"/>
        <v>4</v>
      </c>
      <c r="DW320" s="30">
        <v>12</v>
      </c>
      <c r="DX320" s="30">
        <v>1</v>
      </c>
      <c r="DY320" s="71">
        <f t="shared" si="352"/>
        <v>12</v>
      </c>
      <c r="DZ320" s="30">
        <v>0.02</v>
      </c>
      <c r="EA320" s="169">
        <f t="shared" si="353"/>
        <v>0.37714285714285711</v>
      </c>
      <c r="EB320" s="169">
        <f t="shared" si="354"/>
        <v>116.91428571428571</v>
      </c>
      <c r="EC320" s="169">
        <f t="shared" si="355"/>
        <v>112.38857142857142</v>
      </c>
      <c r="ED320" s="170">
        <f t="shared" si="356"/>
        <v>120.27428571428571</v>
      </c>
      <c r="EE320" s="170">
        <f t="shared" si="356"/>
        <v>116.38857142857142</v>
      </c>
      <c r="EF320" s="42" t="s">
        <v>688</v>
      </c>
      <c r="EG320" s="30" t="s">
        <v>693</v>
      </c>
    </row>
    <row r="321" spans="17:137" s="30" customFormat="1" ht="28.15" thickBot="1">
      <c r="Q321" s="120" t="s">
        <v>703</v>
      </c>
      <c r="S321" s="143">
        <v>1.17</v>
      </c>
      <c r="T321" s="143">
        <v>28</v>
      </c>
      <c r="U321" s="146">
        <f t="shared" si="338"/>
        <v>0</v>
      </c>
      <c r="V321" s="146">
        <f t="shared" si="338"/>
        <v>0</v>
      </c>
      <c r="W321" s="146">
        <f t="shared" si="338"/>
        <v>9.3950999999999993E-2</v>
      </c>
      <c r="X321" s="145">
        <f t="shared" si="338"/>
        <v>0.37580399999999997</v>
      </c>
      <c r="Y321" s="146">
        <f t="shared" si="338"/>
        <v>9.3950999999999993E-2</v>
      </c>
      <c r="Z321" s="146">
        <f t="shared" si="338"/>
        <v>0</v>
      </c>
      <c r="AA321" s="146">
        <f t="shared" si="338"/>
        <v>0.18790199999999999</v>
      </c>
      <c r="AB321" s="149">
        <f t="shared" si="338"/>
        <v>1.3153140000000001</v>
      </c>
      <c r="AC321" s="146">
        <f t="shared" si="338"/>
        <v>1.3153140000000001</v>
      </c>
      <c r="AD321" s="146">
        <f t="shared" si="338"/>
        <v>0</v>
      </c>
      <c r="AE321" s="146">
        <f t="shared" si="338"/>
        <v>0</v>
      </c>
      <c r="AF321" s="146">
        <f t="shared" si="338"/>
        <v>0.1127412</v>
      </c>
      <c r="AG321" s="146">
        <f t="shared" si="338"/>
        <v>0</v>
      </c>
      <c r="AH321" s="146">
        <f t="shared" si="338"/>
        <v>1.8790199999999999</v>
      </c>
      <c r="AI321" s="146">
        <v>0</v>
      </c>
      <c r="AJ321" s="153">
        <f t="shared" si="338"/>
        <v>0.18790199999999999</v>
      </c>
      <c r="AK321" s="146">
        <f t="shared" si="339"/>
        <v>0.18790199999999999</v>
      </c>
      <c r="AL321" s="156">
        <f t="shared" si="340"/>
        <v>0.33822360000000001</v>
      </c>
      <c r="AM321" s="29">
        <v>0.2</v>
      </c>
      <c r="AN321" s="31">
        <v>0</v>
      </c>
      <c r="AP321" s="31">
        <v>0</v>
      </c>
      <c r="AQ321" s="158">
        <v>0.3</v>
      </c>
      <c r="AR321" s="157">
        <v>0.32</v>
      </c>
      <c r="AS321" s="159">
        <v>0.32</v>
      </c>
      <c r="AT321" s="159">
        <v>0.13</v>
      </c>
      <c r="AU321" s="161">
        <f>(AS321*365)*(AT321*0.67*0.02*1)</f>
        <v>0.20346560000000002</v>
      </c>
      <c r="AV321" s="161">
        <f>(AS321*365)*(AT321*0.67*0.01*1)</f>
        <v>0.10173280000000001</v>
      </c>
      <c r="AW321" s="163"/>
      <c r="AX321" s="161">
        <f>(AS321*365)*(AT321*0.67*0.05*1)</f>
        <v>0.50866400000000001</v>
      </c>
      <c r="AY321" s="161">
        <f>(AS321*365)*(AT321*0.67*0.02*1)</f>
        <v>0.20346560000000002</v>
      </c>
      <c r="AZ321" s="162">
        <f>(AR321*365)*(AS321*0.67*0.8*1)</f>
        <v>20.033536000000002</v>
      </c>
      <c r="BA321" s="161">
        <f>(AS321*365)*(AT321*0.67*0.8*1)</f>
        <v>8.1386240000000001</v>
      </c>
      <c r="BB321" s="161">
        <f>(AS321*365)*(AT321*0.67*0.8*1)</f>
        <v>8.1386240000000001</v>
      </c>
      <c r="BC321" s="161">
        <f>(AS321*365)*(AT321*0.67*0.3*1)</f>
        <v>3.0519840000000005</v>
      </c>
      <c r="BD321" s="163"/>
      <c r="BE321" s="161">
        <f>(AS321*365)*(AT321*0.67*0.8*1)</f>
        <v>8.1386240000000001</v>
      </c>
      <c r="BF321" s="161">
        <f t="shared" si="341"/>
        <v>10.173280000000002</v>
      </c>
      <c r="BG321" s="162">
        <f t="shared" si="342"/>
        <v>2.5041920000000002</v>
      </c>
      <c r="BH321" s="161">
        <f t="shared" si="342"/>
        <v>1.017328</v>
      </c>
      <c r="BI321" s="161">
        <f t="shared" si="343"/>
        <v>5.0866400000000006E-2</v>
      </c>
      <c r="BJ321" s="161">
        <f>(AS321*365)*(AT321*0.67*0.015*1)</f>
        <v>0.15259920000000002</v>
      </c>
      <c r="BK321" s="161">
        <v>0</v>
      </c>
      <c r="BL321" s="161">
        <v>0</v>
      </c>
      <c r="BM321" s="161">
        <f>(BA321*365)*(BB321*0.67*0.8*1)</f>
        <v>12958.645928000884</v>
      </c>
      <c r="BN321" s="161">
        <f t="shared" si="344"/>
        <v>16198.307410001104</v>
      </c>
      <c r="BO321" s="162">
        <f t="shared" si="345"/>
        <v>3987.2756701541184</v>
      </c>
      <c r="BP321" s="161">
        <f t="shared" si="345"/>
        <v>1619.8307410001105</v>
      </c>
      <c r="BQ321" s="161">
        <f>(BA321*365)*(BB321*0.67*0.015*1)</f>
        <v>242.97461115001653</v>
      </c>
      <c r="BR321" s="161">
        <v>0</v>
      </c>
      <c r="BS321" s="161">
        <v>0</v>
      </c>
      <c r="BT321" s="160">
        <f t="shared" si="346"/>
        <v>3.9010616000000002</v>
      </c>
      <c r="BU321" s="161"/>
      <c r="BV321" s="162"/>
      <c r="BW321" s="161"/>
      <c r="BX321" s="161"/>
      <c r="BY321" s="161"/>
      <c r="BZ321" s="161"/>
      <c r="CA321" s="160"/>
      <c r="CC321" s="110"/>
      <c r="CD321" s="111" t="str">
        <f t="shared" si="347"/>
        <v>Ovejas - Clima Cálido</v>
      </c>
      <c r="CE321" s="92" t="s">
        <v>688</v>
      </c>
      <c r="CF321" s="165">
        <f t="shared" si="349"/>
        <v>3.9010616000000002</v>
      </c>
      <c r="CG321" s="92" t="s">
        <v>636</v>
      </c>
      <c r="CH321" s="98">
        <v>0.2</v>
      </c>
      <c r="CI321" s="98">
        <v>0.5</v>
      </c>
      <c r="CJ321" s="97" t="s">
        <v>442</v>
      </c>
      <c r="CK321" s="165">
        <f t="shared" si="348"/>
        <v>0.33822360000000001</v>
      </c>
      <c r="CL321" s="92" t="s">
        <v>689</v>
      </c>
      <c r="CM321" s="98">
        <v>0.2</v>
      </c>
      <c r="CN321" s="98">
        <v>0.5</v>
      </c>
      <c r="CO321" s="97" t="s">
        <v>442</v>
      </c>
      <c r="CP321" s="41"/>
      <c r="CQ321" s="96">
        <v>5.25</v>
      </c>
      <c r="CR321" s="92" t="s">
        <v>632</v>
      </c>
      <c r="CS321" s="41"/>
      <c r="CT321" s="96">
        <v>112.388571428571</v>
      </c>
      <c r="CU321" s="92" t="s">
        <v>632</v>
      </c>
      <c r="CV321" s="39"/>
      <c r="CW321" s="41"/>
      <c r="CX321" s="39"/>
      <c r="CY321" s="39"/>
      <c r="CZ321" s="41"/>
      <c r="DA321" s="41"/>
      <c r="DB321" s="41"/>
      <c r="DC321" s="41"/>
      <c r="DD321" s="39"/>
      <c r="DE321" s="39"/>
      <c r="DF321" s="41"/>
      <c r="DG321" s="41"/>
      <c r="DH321" s="41"/>
      <c r="DI321" s="42"/>
      <c r="DJ321" s="43">
        <v>0.2</v>
      </c>
      <c r="DK321" s="43">
        <v>0.25</v>
      </c>
      <c r="DS321" s="30" t="s">
        <v>703</v>
      </c>
      <c r="DT321" s="30">
        <v>0.21</v>
      </c>
      <c r="DU321" s="71">
        <f t="shared" si="350"/>
        <v>4.41</v>
      </c>
      <c r="DV321" s="71">
        <f t="shared" si="351"/>
        <v>5.25</v>
      </c>
      <c r="DW321" s="30">
        <v>12</v>
      </c>
      <c r="DX321" s="30">
        <v>1</v>
      </c>
      <c r="DY321" s="71">
        <f t="shared" si="352"/>
        <v>12</v>
      </c>
      <c r="DZ321" s="30">
        <v>0.02</v>
      </c>
      <c r="EA321" s="169">
        <f t="shared" si="353"/>
        <v>0.37714285714285711</v>
      </c>
      <c r="EB321" s="169">
        <f t="shared" si="354"/>
        <v>116.91428571428571</v>
      </c>
      <c r="EC321" s="169">
        <f t="shared" si="355"/>
        <v>112.38857142857142</v>
      </c>
      <c r="ED321" s="170">
        <f t="shared" si="356"/>
        <v>121.32428571428571</v>
      </c>
      <c r="EE321" s="170">
        <f t="shared" si="356"/>
        <v>117.63857142857142</v>
      </c>
      <c r="EF321" s="42" t="s">
        <v>688</v>
      </c>
      <c r="EG321" s="30" t="s">
        <v>693</v>
      </c>
    </row>
    <row r="322" spans="17:137" s="30" customFormat="1" ht="28.15" thickBot="1">
      <c r="Q322" s="120" t="s">
        <v>704</v>
      </c>
      <c r="S322" s="143">
        <v>1.57</v>
      </c>
      <c r="T322" s="143">
        <v>28</v>
      </c>
      <c r="U322" s="146">
        <f t="shared" si="338"/>
        <v>0</v>
      </c>
      <c r="V322" s="146">
        <f t="shared" si="338"/>
        <v>0</v>
      </c>
      <c r="W322" s="146">
        <f t="shared" si="338"/>
        <v>0.12607100000000002</v>
      </c>
      <c r="X322" s="145">
        <f t="shared" si="338"/>
        <v>0.50428400000000007</v>
      </c>
      <c r="Y322" s="146">
        <f t="shared" si="338"/>
        <v>0.12607100000000002</v>
      </c>
      <c r="Z322" s="146">
        <f t="shared" si="338"/>
        <v>0</v>
      </c>
      <c r="AA322" s="146">
        <f t="shared" si="338"/>
        <v>0.25214200000000003</v>
      </c>
      <c r="AB322" s="149">
        <f t="shared" si="338"/>
        <v>1.7649940000000004</v>
      </c>
      <c r="AC322" s="146">
        <f t="shared" si="338"/>
        <v>1.7649940000000004</v>
      </c>
      <c r="AD322" s="146">
        <f t="shared" si="338"/>
        <v>0</v>
      </c>
      <c r="AE322" s="146">
        <f t="shared" si="338"/>
        <v>0</v>
      </c>
      <c r="AF322" s="146">
        <f t="shared" si="338"/>
        <v>0.15128520000000001</v>
      </c>
      <c r="AG322" s="146">
        <f t="shared" si="338"/>
        <v>0</v>
      </c>
      <c r="AH322" s="146">
        <f t="shared" si="338"/>
        <v>2.52142</v>
      </c>
      <c r="AI322" s="146">
        <v>0</v>
      </c>
      <c r="AJ322" s="153">
        <f t="shared" si="338"/>
        <v>0.25214200000000003</v>
      </c>
      <c r="AK322" s="146">
        <f t="shared" si="339"/>
        <v>0.25214200000000003</v>
      </c>
      <c r="AL322" s="156">
        <f t="shared" si="340"/>
        <v>0.45385560000000008</v>
      </c>
      <c r="AM322" s="29">
        <v>1</v>
      </c>
      <c r="AN322" s="29">
        <v>12</v>
      </c>
      <c r="AP322" s="29">
        <v>8</v>
      </c>
      <c r="AQ322" s="158">
        <v>0.3</v>
      </c>
      <c r="AR322" s="157">
        <v>0.3</v>
      </c>
      <c r="AS322" s="159">
        <v>0.3</v>
      </c>
      <c r="AT322" s="159">
        <v>0.28999999999999998</v>
      </c>
      <c r="AU322" s="161">
        <f>(AS322*365)*(AT322*0.67*0.01*1)</f>
        <v>0.21275850000000002</v>
      </c>
      <c r="AV322" s="161">
        <f>(AS322*365)*(AT322*0.67*0.001*1)</f>
        <v>2.1275850000000002E-2</v>
      </c>
      <c r="AW322" s="163"/>
      <c r="AX322" s="161">
        <f>(AS322*365)*(AT322*0.67*0.02*1)</f>
        <v>0.42551700000000003</v>
      </c>
      <c r="AY322" s="161">
        <f>(AS322*365)*(AT322*0.67*0.01*1)</f>
        <v>0.21275850000000002</v>
      </c>
      <c r="AZ322" s="162">
        <f>(AR322*365)*(AS322*0.67*0.25*1)</f>
        <v>5.5023750000000007</v>
      </c>
      <c r="BA322" s="161">
        <f>(AS322*365)*(AT322*0.67*0.25*1)</f>
        <v>5.3189624999999996</v>
      </c>
      <c r="BB322" s="161">
        <f>(AS322*365)*(AT322*0.67*0.73*1)</f>
        <v>15.5313705</v>
      </c>
      <c r="BC322" s="161">
        <f>(AS322*365)*(AT322*0.67*0.03*1)</f>
        <v>0.6382755</v>
      </c>
      <c r="BD322" s="163"/>
      <c r="BE322" s="161">
        <f>(AS322*365)*(AT322*0.67*0.25*1)</f>
        <v>5.3189624999999996</v>
      </c>
      <c r="BF322" s="161">
        <f t="shared" si="341"/>
        <v>21.275849999999998</v>
      </c>
      <c r="BG322" s="162">
        <f t="shared" si="342"/>
        <v>2.2009500000000002</v>
      </c>
      <c r="BH322" s="161">
        <f t="shared" si="342"/>
        <v>2.1275850000000003</v>
      </c>
      <c r="BI322" s="161">
        <f t="shared" si="343"/>
        <v>0.10637925000000001</v>
      </c>
      <c r="BJ322" s="161">
        <f>(AS322*365)*(AT322*0.67*0.005*1)</f>
        <v>0.10637925000000001</v>
      </c>
      <c r="BK322" s="161">
        <v>0</v>
      </c>
      <c r="BL322" s="161">
        <v>0</v>
      </c>
      <c r="BM322" s="161">
        <f>(BA322*365)*(BB322*0.67*0.25*1)</f>
        <v>5050.6163949231577</v>
      </c>
      <c r="BN322" s="161">
        <f t="shared" si="344"/>
        <v>20202.465579692631</v>
      </c>
      <c r="BO322" s="162">
        <f t="shared" si="345"/>
        <v>715.7226823226016</v>
      </c>
      <c r="BP322" s="161">
        <f t="shared" si="345"/>
        <v>2020.2465579692634</v>
      </c>
      <c r="BQ322" s="161">
        <f>(BA322*365)*(BB322*0.67*0.005*1)</f>
        <v>101.01232789846317</v>
      </c>
      <c r="BR322" s="161">
        <v>0</v>
      </c>
      <c r="BS322" s="161">
        <v>0</v>
      </c>
      <c r="BT322" s="160">
        <f t="shared" si="346"/>
        <v>3.6874624593750003</v>
      </c>
      <c r="BU322" s="161"/>
      <c r="BV322" s="162"/>
      <c r="BW322" s="161"/>
      <c r="BX322" s="161"/>
      <c r="BY322" s="161"/>
      <c r="BZ322" s="161"/>
      <c r="CA322" s="160"/>
      <c r="CC322" s="110"/>
      <c r="CD322" s="111" t="str">
        <f t="shared" si="347"/>
        <v>Porcinos de carne - Clima Frío</v>
      </c>
      <c r="CE322" s="92" t="s">
        <v>688</v>
      </c>
      <c r="CF322" s="165">
        <f t="shared" si="349"/>
        <v>3.6874624593750003</v>
      </c>
      <c r="CG322" s="92" t="s">
        <v>636</v>
      </c>
      <c r="CH322" s="98">
        <v>0.2</v>
      </c>
      <c r="CI322" s="98">
        <v>0.5</v>
      </c>
      <c r="CJ322" s="97" t="s">
        <v>442</v>
      </c>
      <c r="CK322" s="165">
        <f t="shared" si="348"/>
        <v>0.45385560000000008</v>
      </c>
      <c r="CL322" s="92" t="s">
        <v>689</v>
      </c>
      <c r="CM322" s="98">
        <v>0.2</v>
      </c>
      <c r="CN322" s="98">
        <v>0.5</v>
      </c>
      <c r="CO322" s="97" t="s">
        <v>442</v>
      </c>
      <c r="CP322" s="41"/>
      <c r="CQ322" s="96">
        <v>0</v>
      </c>
      <c r="CR322" s="92" t="s">
        <v>632</v>
      </c>
      <c r="CS322" s="41"/>
      <c r="CT322" s="96">
        <v>76.4242285714286</v>
      </c>
      <c r="CU322" s="92" t="s">
        <v>632</v>
      </c>
      <c r="CV322" s="39"/>
      <c r="CW322" s="41"/>
      <c r="CX322" s="39"/>
      <c r="CY322" s="39"/>
      <c r="CZ322" s="41"/>
      <c r="DA322" s="41"/>
      <c r="DB322" s="41"/>
      <c r="DC322" s="41"/>
      <c r="DD322" s="39"/>
      <c r="DE322" s="39"/>
      <c r="DF322" s="41"/>
      <c r="DG322" s="41"/>
      <c r="DH322" s="41"/>
      <c r="DI322" s="42"/>
      <c r="DJ322" s="43">
        <v>0.2</v>
      </c>
      <c r="DK322" s="43">
        <v>0.1</v>
      </c>
      <c r="DS322" s="30" t="s">
        <v>705</v>
      </c>
      <c r="DT322" s="30">
        <v>0</v>
      </c>
      <c r="DU322" s="71">
        <f t="shared" si="350"/>
        <v>0</v>
      </c>
      <c r="DV322" s="71">
        <f t="shared" si="351"/>
        <v>0</v>
      </c>
      <c r="DW322" s="30">
        <v>16</v>
      </c>
      <c r="DX322" s="30">
        <v>0.51</v>
      </c>
      <c r="DY322" s="71">
        <f t="shared" si="352"/>
        <v>8.16</v>
      </c>
      <c r="DZ322" s="30">
        <v>0.02</v>
      </c>
      <c r="EA322" s="169">
        <f t="shared" si="353"/>
        <v>0.25645714285714288</v>
      </c>
      <c r="EB322" s="169">
        <f t="shared" si="354"/>
        <v>79.5017142857143</v>
      </c>
      <c r="EC322" s="169">
        <f t="shared" si="355"/>
        <v>76.424228571428586</v>
      </c>
      <c r="ED322" s="170">
        <f t="shared" si="356"/>
        <v>79.5017142857143</v>
      </c>
      <c r="EE322" s="170">
        <f t="shared" si="356"/>
        <v>76.424228571428586</v>
      </c>
      <c r="EF322" s="42" t="s">
        <v>688</v>
      </c>
      <c r="EG322" s="30" t="s">
        <v>693</v>
      </c>
    </row>
    <row r="323" spans="17:137" s="30" customFormat="1" ht="28.15" thickBot="1">
      <c r="Q323" s="120" t="s">
        <v>706</v>
      </c>
      <c r="S323" s="143">
        <v>1.57</v>
      </c>
      <c r="T323" s="143">
        <v>28</v>
      </c>
      <c r="U323" s="146">
        <f t="shared" si="338"/>
        <v>0</v>
      </c>
      <c r="V323" s="146">
        <f t="shared" si="338"/>
        <v>0</v>
      </c>
      <c r="W323" s="146">
        <f t="shared" si="338"/>
        <v>0.12607100000000002</v>
      </c>
      <c r="X323" s="145">
        <f t="shared" si="338"/>
        <v>0.50428400000000007</v>
      </c>
      <c r="Y323" s="146">
        <f t="shared" si="338"/>
        <v>0.12607100000000002</v>
      </c>
      <c r="Z323" s="146">
        <f t="shared" si="338"/>
        <v>0</v>
      </c>
      <c r="AA323" s="146">
        <f t="shared" si="338"/>
        <v>0.25214200000000003</v>
      </c>
      <c r="AB323" s="149">
        <f t="shared" si="338"/>
        <v>1.7649940000000004</v>
      </c>
      <c r="AC323" s="146">
        <f t="shared" si="338"/>
        <v>1.7649940000000004</v>
      </c>
      <c r="AD323" s="146">
        <f t="shared" si="338"/>
        <v>0</v>
      </c>
      <c r="AE323" s="146">
        <f t="shared" si="338"/>
        <v>0</v>
      </c>
      <c r="AF323" s="146">
        <f t="shared" si="338"/>
        <v>0.15128520000000001</v>
      </c>
      <c r="AG323" s="146">
        <f t="shared" si="338"/>
        <v>0</v>
      </c>
      <c r="AH323" s="146">
        <f t="shared" si="338"/>
        <v>2.52142</v>
      </c>
      <c r="AI323" s="146">
        <v>0</v>
      </c>
      <c r="AJ323" s="153">
        <f t="shared" si="338"/>
        <v>0.25214200000000003</v>
      </c>
      <c r="AK323" s="146">
        <f t="shared" si="339"/>
        <v>0.25214200000000003</v>
      </c>
      <c r="AL323" s="156">
        <f t="shared" si="340"/>
        <v>0.45385560000000008</v>
      </c>
      <c r="AM323" s="29">
        <v>1</v>
      </c>
      <c r="AN323" s="29">
        <v>20</v>
      </c>
      <c r="AP323" s="29">
        <v>18</v>
      </c>
      <c r="AQ323" s="158">
        <v>0.3</v>
      </c>
      <c r="AR323" s="157">
        <v>0.3</v>
      </c>
      <c r="AS323" s="159">
        <v>0.3</v>
      </c>
      <c r="AT323" s="159">
        <v>0.28999999999999998</v>
      </c>
      <c r="AU323" s="161">
        <f>(AS323*365)*(AT323*0.67*0.015*1)</f>
        <v>0.31913775</v>
      </c>
      <c r="AV323" s="161">
        <f>(AS323*365)*(AT323*0.67*0.005*1)</f>
        <v>0.10637925000000001</v>
      </c>
      <c r="AW323" s="163"/>
      <c r="AX323" s="161">
        <f>(AS323*365)*(AT323*0.67*0.04*1)</f>
        <v>0.85103400000000007</v>
      </c>
      <c r="AY323" s="161">
        <f>(AS323*365)*(AT323*0.67*0.015*1)</f>
        <v>0.31913775</v>
      </c>
      <c r="AZ323" s="162">
        <f>(AR323*365)*(AS323*0.67*0.65*1)</f>
        <v>14.306175000000001</v>
      </c>
      <c r="BA323" s="161">
        <f>(AS323*365)*(AT323*0.67*0.65*1)</f>
        <v>13.829302500000002</v>
      </c>
      <c r="BB323" s="161">
        <f>(AS323*365)*(AT323*0.67*0.79*1)</f>
        <v>16.807921499999999</v>
      </c>
      <c r="BC323" s="161">
        <f>(AS323*365)*(AT323*0.67*0.03*1)</f>
        <v>0.6382755</v>
      </c>
      <c r="BD323" s="163"/>
      <c r="BE323" s="161">
        <f>(AS323*365)*(AT323*0.67*0.65*1)</f>
        <v>13.829302500000002</v>
      </c>
      <c r="BF323" s="161">
        <f t="shared" si="341"/>
        <v>21.275849999999998</v>
      </c>
      <c r="BG323" s="162">
        <f t="shared" si="342"/>
        <v>2.2009500000000002</v>
      </c>
      <c r="BH323" s="161">
        <f t="shared" si="342"/>
        <v>2.1275850000000003</v>
      </c>
      <c r="BI323" s="161">
        <f t="shared" si="343"/>
        <v>0.10637925000000001</v>
      </c>
      <c r="BJ323" s="161">
        <f>(AS323*365)*(AT323*0.67*0.01*1)</f>
        <v>0.21275850000000002</v>
      </c>
      <c r="BK323" s="161">
        <v>0</v>
      </c>
      <c r="BL323" s="161">
        <v>0</v>
      </c>
      <c r="BM323" s="161">
        <f>(BA323*365)*(BB323*0.67*0.65*1)</f>
        <v>36948.372322531017</v>
      </c>
      <c r="BN323" s="161">
        <f t="shared" si="344"/>
        <v>56843.649726970791</v>
      </c>
      <c r="BO323" s="162">
        <f t="shared" si="345"/>
        <v>4838.2853325007882</v>
      </c>
      <c r="BP323" s="161">
        <f t="shared" si="345"/>
        <v>5684.3649726970798</v>
      </c>
      <c r="BQ323" s="161">
        <f>(BA323*365)*(BB323*0.67*0.01*1)</f>
        <v>568.43649726970796</v>
      </c>
      <c r="BR323" s="161">
        <v>0</v>
      </c>
      <c r="BS323" s="161">
        <v>0</v>
      </c>
      <c r="BT323" s="160">
        <f t="shared" si="346"/>
        <v>5.4331367812500009</v>
      </c>
      <c r="BU323" s="161"/>
      <c r="BV323" s="162"/>
      <c r="BW323" s="161"/>
      <c r="BX323" s="161"/>
      <c r="BY323" s="161"/>
      <c r="BZ323" s="161"/>
      <c r="CA323" s="160"/>
      <c r="CC323" s="110"/>
      <c r="CD323" s="111" t="str">
        <f t="shared" si="347"/>
        <v>Porcinos de carne - Clima Templado</v>
      </c>
      <c r="CE323" s="92" t="s">
        <v>688</v>
      </c>
      <c r="CF323" s="165">
        <f t="shared" si="349"/>
        <v>5.4331367812500009</v>
      </c>
      <c r="CG323" s="92" t="s">
        <v>636</v>
      </c>
      <c r="CH323" s="98">
        <v>0.2</v>
      </c>
      <c r="CI323" s="98">
        <v>0.5</v>
      </c>
      <c r="CJ323" s="97" t="s">
        <v>442</v>
      </c>
      <c r="CK323" s="165">
        <f t="shared" si="348"/>
        <v>0.45385560000000008</v>
      </c>
      <c r="CL323" s="92" t="s">
        <v>689</v>
      </c>
      <c r="CM323" s="98">
        <v>0.2</v>
      </c>
      <c r="CN323" s="98">
        <v>0.5</v>
      </c>
      <c r="CO323" s="97" t="s">
        <v>442</v>
      </c>
      <c r="CP323" s="41"/>
      <c r="CQ323" s="96">
        <v>25</v>
      </c>
      <c r="CR323" s="92" t="s">
        <v>632</v>
      </c>
      <c r="CS323" s="41"/>
      <c r="CT323" s="96">
        <v>76.4242285714286</v>
      </c>
      <c r="CU323" s="92" t="s">
        <v>632</v>
      </c>
      <c r="CV323" s="41"/>
      <c r="CW323" s="41"/>
      <c r="CX323" s="39"/>
      <c r="CY323" s="39"/>
      <c r="CZ323" s="41"/>
      <c r="DA323" s="41"/>
      <c r="DB323" s="41"/>
      <c r="DC323" s="41"/>
      <c r="DD323" s="39"/>
      <c r="DE323" s="39"/>
      <c r="DF323" s="41"/>
      <c r="DG323" s="41"/>
      <c r="DH323" s="41"/>
      <c r="DI323" s="42"/>
      <c r="DJ323" s="43">
        <v>0.2</v>
      </c>
      <c r="DK323" s="43">
        <v>0.1</v>
      </c>
      <c r="DS323" s="30" t="s">
        <v>707</v>
      </c>
      <c r="DT323" s="30">
        <v>1</v>
      </c>
      <c r="DU323" s="71">
        <f t="shared" si="350"/>
        <v>21</v>
      </c>
      <c r="DV323" s="71">
        <f t="shared" si="351"/>
        <v>25</v>
      </c>
      <c r="DW323" s="30">
        <v>16</v>
      </c>
      <c r="DX323" s="30">
        <v>0.51</v>
      </c>
      <c r="DY323" s="71">
        <f t="shared" si="352"/>
        <v>8.16</v>
      </c>
      <c r="DZ323" s="30">
        <v>0.02</v>
      </c>
      <c r="EA323" s="169">
        <f t="shared" si="353"/>
        <v>0.25645714285714288</v>
      </c>
      <c r="EB323" s="169">
        <f t="shared" si="354"/>
        <v>79.5017142857143</v>
      </c>
      <c r="EC323" s="169">
        <f t="shared" si="355"/>
        <v>76.424228571428586</v>
      </c>
      <c r="ED323" s="170">
        <f t="shared" si="356"/>
        <v>100.5017142857143</v>
      </c>
      <c r="EE323" s="170">
        <f t="shared" si="356"/>
        <v>101.42422857142859</v>
      </c>
      <c r="EF323" s="42" t="s">
        <v>688</v>
      </c>
      <c r="EG323" s="30" t="s">
        <v>693</v>
      </c>
    </row>
    <row r="324" spans="17:137" s="30" customFormat="1" ht="28.15" thickBot="1">
      <c r="Q324" s="120" t="s">
        <v>708</v>
      </c>
      <c r="S324" s="143">
        <v>1.57</v>
      </c>
      <c r="T324" s="143">
        <v>28</v>
      </c>
      <c r="U324" s="146">
        <f t="shared" si="338"/>
        <v>0</v>
      </c>
      <c r="V324" s="146">
        <f t="shared" si="338"/>
        <v>0</v>
      </c>
      <c r="W324" s="146">
        <f t="shared" si="338"/>
        <v>0.12607100000000002</v>
      </c>
      <c r="X324" s="145">
        <f t="shared" si="338"/>
        <v>0.50428400000000007</v>
      </c>
      <c r="Y324" s="146">
        <f t="shared" si="338"/>
        <v>0.12607100000000002</v>
      </c>
      <c r="Z324" s="146">
        <f t="shared" si="338"/>
        <v>0</v>
      </c>
      <c r="AA324" s="146">
        <f t="shared" si="338"/>
        <v>0.25214200000000003</v>
      </c>
      <c r="AB324" s="149">
        <f t="shared" si="338"/>
        <v>1.7649940000000004</v>
      </c>
      <c r="AC324" s="146">
        <f t="shared" si="338"/>
        <v>1.7649940000000004</v>
      </c>
      <c r="AD324" s="146">
        <f t="shared" si="338"/>
        <v>0</v>
      </c>
      <c r="AE324" s="146">
        <f t="shared" si="338"/>
        <v>0</v>
      </c>
      <c r="AF324" s="146">
        <f t="shared" si="338"/>
        <v>0.15128520000000001</v>
      </c>
      <c r="AG324" s="146">
        <f t="shared" si="338"/>
        <v>0</v>
      </c>
      <c r="AH324" s="146">
        <f t="shared" si="338"/>
        <v>2.52142</v>
      </c>
      <c r="AI324" s="146">
        <v>0</v>
      </c>
      <c r="AJ324" s="153">
        <f t="shared" si="338"/>
        <v>0.25214200000000003</v>
      </c>
      <c r="AK324" s="146">
        <f t="shared" si="339"/>
        <v>0.25214200000000003</v>
      </c>
      <c r="AL324" s="156">
        <f t="shared" si="340"/>
        <v>0.45385560000000008</v>
      </c>
      <c r="AM324" s="29">
        <v>2</v>
      </c>
      <c r="AN324" s="29">
        <v>23</v>
      </c>
      <c r="AP324" s="29">
        <v>21</v>
      </c>
      <c r="AQ324" s="158">
        <v>0.3</v>
      </c>
      <c r="AR324" s="157">
        <v>0.3</v>
      </c>
      <c r="AS324" s="159">
        <v>0.3</v>
      </c>
      <c r="AT324" s="159">
        <v>0.28999999999999998</v>
      </c>
      <c r="AU324" s="161">
        <f>(AS324*365)*(AT324*0.67*0.02*1)</f>
        <v>0.42551700000000003</v>
      </c>
      <c r="AV324" s="161">
        <f>(AS324*365)*(AT324*0.67*0.01*1)</f>
        <v>0.21275850000000002</v>
      </c>
      <c r="AW324" s="163"/>
      <c r="AX324" s="161">
        <f>(AS324*365)*(AT324*0.67*0.05*1)</f>
        <v>1.0637925000000001</v>
      </c>
      <c r="AY324" s="161">
        <f>(AS324*365)*(AT324*0.67*0.02*1)</f>
        <v>0.42551700000000003</v>
      </c>
      <c r="AZ324" s="162">
        <f>(AR324*365)*(AS324*0.67*0.8*1)</f>
        <v>17.607600000000001</v>
      </c>
      <c r="BA324" s="161">
        <f>(AS324*365)*(AT324*0.67*0.8*1)</f>
        <v>17.020680000000002</v>
      </c>
      <c r="BB324" s="161">
        <f>(AS324*365)*(AT324*0.67*0.8*1)</f>
        <v>17.020680000000002</v>
      </c>
      <c r="BC324" s="161">
        <f>(AS324*365)*(AT324*0.67*0.3*1)</f>
        <v>6.3827549999999995</v>
      </c>
      <c r="BD324" s="163"/>
      <c r="BE324" s="161">
        <f>(AS324*365)*(AT324*0.67*0.8*1)</f>
        <v>17.020680000000002</v>
      </c>
      <c r="BF324" s="161">
        <f t="shared" si="341"/>
        <v>21.275849999999998</v>
      </c>
      <c r="BG324" s="162">
        <f t="shared" si="342"/>
        <v>2.2009500000000002</v>
      </c>
      <c r="BH324" s="161">
        <f t="shared" si="342"/>
        <v>2.1275850000000003</v>
      </c>
      <c r="BI324" s="161">
        <f t="shared" si="343"/>
        <v>0.10637925000000001</v>
      </c>
      <c r="BJ324" s="161">
        <f>(AS324*365)*(AT324*0.67*0.015*1)</f>
        <v>0.31913775</v>
      </c>
      <c r="BK324" s="161">
        <v>0</v>
      </c>
      <c r="BL324" s="161">
        <v>0</v>
      </c>
      <c r="BM324" s="161">
        <f>(BA324*365)*(BB324*0.67*0.8*1)</f>
        <v>56677.602064671955</v>
      </c>
      <c r="BN324" s="161">
        <f t="shared" si="344"/>
        <v>70847.002580839937</v>
      </c>
      <c r="BO324" s="162">
        <f t="shared" si="345"/>
        <v>7329.0002669834412</v>
      </c>
      <c r="BP324" s="161">
        <f t="shared" si="345"/>
        <v>7084.7002580839944</v>
      </c>
      <c r="BQ324" s="161">
        <f>(BA324*365)*(BB324*0.67*0.015*1)</f>
        <v>1062.7050387125992</v>
      </c>
      <c r="BR324" s="161">
        <v>0</v>
      </c>
      <c r="BS324" s="161">
        <v>0</v>
      </c>
      <c r="BT324" s="160">
        <f t="shared" si="346"/>
        <v>6.4506176249999996</v>
      </c>
      <c r="BU324" s="161"/>
      <c r="BV324" s="162"/>
      <c r="BW324" s="161"/>
      <c r="BX324" s="161"/>
      <c r="BY324" s="161"/>
      <c r="BZ324" s="161"/>
      <c r="CA324" s="160"/>
      <c r="CC324" s="110"/>
      <c r="CD324" s="111" t="str">
        <f t="shared" si="347"/>
        <v>Porcinos de carne - Clima Cálido</v>
      </c>
      <c r="CE324" s="92" t="s">
        <v>688</v>
      </c>
      <c r="CF324" s="165">
        <f t="shared" si="349"/>
        <v>6.4506176249999996</v>
      </c>
      <c r="CG324" s="92" t="s">
        <v>636</v>
      </c>
      <c r="CH324" s="98">
        <v>0.2</v>
      </c>
      <c r="CI324" s="98">
        <v>0.5</v>
      </c>
      <c r="CJ324" s="97" t="s">
        <v>442</v>
      </c>
      <c r="CK324" s="165">
        <f t="shared" si="348"/>
        <v>0.45385560000000008</v>
      </c>
      <c r="CL324" s="92" t="s">
        <v>689</v>
      </c>
      <c r="CM324" s="98">
        <v>0.2</v>
      </c>
      <c r="CN324" s="98">
        <v>0.5</v>
      </c>
      <c r="CO324" s="97" t="s">
        <v>442</v>
      </c>
      <c r="CP324" s="41"/>
      <c r="CQ324" s="96">
        <v>50</v>
      </c>
      <c r="CR324" s="92" t="s">
        <v>632</v>
      </c>
      <c r="CS324" s="41"/>
      <c r="CT324" s="96">
        <v>76.4242285714286</v>
      </c>
      <c r="CU324" s="92" t="s">
        <v>632</v>
      </c>
      <c r="CV324" s="41"/>
      <c r="CW324" s="41"/>
      <c r="CX324" s="39"/>
      <c r="CY324" s="39"/>
      <c r="CZ324" s="41"/>
      <c r="DA324" s="41"/>
      <c r="DB324" s="41"/>
      <c r="DC324" s="41"/>
      <c r="DD324" s="39"/>
      <c r="DE324" s="39"/>
      <c r="DF324" s="41"/>
      <c r="DG324" s="41"/>
      <c r="DH324" s="41"/>
      <c r="DI324" s="42"/>
      <c r="DJ324" s="43">
        <v>0.2</v>
      </c>
      <c r="DK324" s="43">
        <v>0.1</v>
      </c>
      <c r="DS324" s="30" t="s">
        <v>709</v>
      </c>
      <c r="DT324" s="30">
        <v>2</v>
      </c>
      <c r="DU324" s="71">
        <f t="shared" si="350"/>
        <v>42</v>
      </c>
      <c r="DV324" s="71">
        <f t="shared" si="351"/>
        <v>50</v>
      </c>
      <c r="DW324" s="30">
        <v>16</v>
      </c>
      <c r="DX324" s="30">
        <v>0.51</v>
      </c>
      <c r="DY324" s="71">
        <f t="shared" si="352"/>
        <v>8.16</v>
      </c>
      <c r="DZ324" s="30">
        <v>0.02</v>
      </c>
      <c r="EA324" s="169">
        <f t="shared" si="353"/>
        <v>0.25645714285714288</v>
      </c>
      <c r="EB324" s="169">
        <f t="shared" si="354"/>
        <v>79.5017142857143</v>
      </c>
      <c r="EC324" s="169">
        <f t="shared" si="355"/>
        <v>76.424228571428586</v>
      </c>
      <c r="ED324" s="170">
        <f t="shared" si="356"/>
        <v>121.5017142857143</v>
      </c>
      <c r="EE324" s="170">
        <f t="shared" si="356"/>
        <v>126.42422857142859</v>
      </c>
      <c r="EF324" s="42" t="s">
        <v>688</v>
      </c>
      <c r="EG324" s="30" t="s">
        <v>693</v>
      </c>
    </row>
    <row r="325" spans="17:137" s="30" customFormat="1" ht="18.75" customHeight="1" thickBot="1">
      <c r="Q325" s="120" t="s">
        <v>710</v>
      </c>
      <c r="S325" s="143">
        <v>0.55000000000000004</v>
      </c>
      <c r="T325" s="143">
        <v>28</v>
      </c>
      <c r="U325" s="146">
        <f t="shared" si="338"/>
        <v>0</v>
      </c>
      <c r="V325" s="146">
        <f t="shared" si="338"/>
        <v>0</v>
      </c>
      <c r="W325" s="146">
        <f t="shared" si="338"/>
        <v>4.4165000000000003E-2</v>
      </c>
      <c r="X325" s="145">
        <f t="shared" si="338"/>
        <v>0.17666000000000001</v>
      </c>
      <c r="Y325" s="146">
        <f t="shared" si="338"/>
        <v>4.4165000000000003E-2</v>
      </c>
      <c r="Z325" s="146">
        <f t="shared" si="338"/>
        <v>0</v>
      </c>
      <c r="AA325" s="146">
        <f t="shared" si="338"/>
        <v>8.8330000000000006E-2</v>
      </c>
      <c r="AB325" s="149">
        <f t="shared" si="338"/>
        <v>0.61831000000000003</v>
      </c>
      <c r="AC325" s="146">
        <f t="shared" si="338"/>
        <v>0.61831000000000003</v>
      </c>
      <c r="AD325" s="146">
        <f t="shared" si="338"/>
        <v>0</v>
      </c>
      <c r="AE325" s="146">
        <f t="shared" si="338"/>
        <v>0</v>
      </c>
      <c r="AF325" s="146">
        <f t="shared" si="338"/>
        <v>5.299800000000001E-2</v>
      </c>
      <c r="AG325" s="146">
        <f t="shared" si="338"/>
        <v>0</v>
      </c>
      <c r="AH325" s="146">
        <f t="shared" si="338"/>
        <v>0.88330000000000009</v>
      </c>
      <c r="AI325" s="146">
        <v>0</v>
      </c>
      <c r="AJ325" s="153">
        <f t="shared" si="338"/>
        <v>8.8330000000000006E-2</v>
      </c>
      <c r="AK325" s="146">
        <f t="shared" si="339"/>
        <v>8.8330000000000006E-2</v>
      </c>
      <c r="AL325" s="156">
        <f t="shared" si="340"/>
        <v>0.15899400000000002</v>
      </c>
      <c r="AM325" s="29">
        <v>1</v>
      </c>
      <c r="AN325" s="29">
        <v>23</v>
      </c>
      <c r="AP325" s="29">
        <v>12</v>
      </c>
      <c r="AQ325" s="158">
        <v>0.3</v>
      </c>
      <c r="AR325" s="157">
        <v>0.3</v>
      </c>
      <c r="AS325" s="159">
        <v>0.3</v>
      </c>
      <c r="AT325" s="159">
        <v>0.28999999999999998</v>
      </c>
      <c r="AU325" s="161">
        <f>(AS325*365)*(AT325*0.67*0.01*1)</f>
        <v>0.21275850000000002</v>
      </c>
      <c r="AV325" s="161">
        <f>(AS325*365)*(AT325*0.67*0.001*1)</f>
        <v>2.1275850000000002E-2</v>
      </c>
      <c r="AW325" s="163"/>
      <c r="AX325" s="161">
        <f>(AS325*365)*(AT325*0.67*0.02*1)</f>
        <v>0.42551700000000003</v>
      </c>
      <c r="AY325" s="161">
        <f>(AS325*365)*(AT325*0.67*0.01*1)</f>
        <v>0.21275850000000002</v>
      </c>
      <c r="AZ325" s="162">
        <f>(AR325*365)*(AS325*0.67*0.25*1)</f>
        <v>5.5023750000000007</v>
      </c>
      <c r="BA325" s="161">
        <f>(AS325*365)*(AT325*0.67*0.25*1)</f>
        <v>5.3189624999999996</v>
      </c>
      <c r="BB325" s="161">
        <f>(AS325*365)*(AT325*0.67*0.73*1)</f>
        <v>15.5313705</v>
      </c>
      <c r="BC325" s="161">
        <f>(AS325*365)*(AT325*0.67*0.03*1)</f>
        <v>0.6382755</v>
      </c>
      <c r="BD325" s="163"/>
      <c r="BE325" s="161">
        <f>(AS325*365)*(AT325*0.67*0.25*1)</f>
        <v>5.3189624999999996</v>
      </c>
      <c r="BF325" s="161">
        <f t="shared" si="341"/>
        <v>21.275849999999998</v>
      </c>
      <c r="BG325" s="162">
        <f t="shared" si="342"/>
        <v>2.2009500000000002</v>
      </c>
      <c r="BH325" s="161">
        <f t="shared" si="342"/>
        <v>2.1275850000000003</v>
      </c>
      <c r="BI325" s="161">
        <f t="shared" si="343"/>
        <v>0.10637925000000001</v>
      </c>
      <c r="BJ325" s="161">
        <f>(AS325*365)*(AT325*0.67*0.005*1)</f>
        <v>0.10637925000000001</v>
      </c>
      <c r="BK325" s="161">
        <v>0</v>
      </c>
      <c r="BL325" s="161">
        <v>0</v>
      </c>
      <c r="BM325" s="161">
        <f>(BA325*365)*(BB325*0.67*0.25*1)</f>
        <v>5050.6163949231577</v>
      </c>
      <c r="BN325" s="161">
        <f t="shared" si="344"/>
        <v>20202.465579692631</v>
      </c>
      <c r="BO325" s="162">
        <f t="shared" si="345"/>
        <v>715.7226823226016</v>
      </c>
      <c r="BP325" s="161">
        <f t="shared" si="345"/>
        <v>2020.2465579692634</v>
      </c>
      <c r="BQ325" s="161">
        <f>(BA325*365)*(BB325*0.67*0.005*1)</f>
        <v>101.01232789846317</v>
      </c>
      <c r="BR325" s="161">
        <v>0</v>
      </c>
      <c r="BS325" s="161">
        <v>0</v>
      </c>
      <c r="BT325" s="160">
        <f t="shared" si="346"/>
        <v>3.6874624593750003</v>
      </c>
      <c r="BU325" s="161"/>
      <c r="BV325" s="162"/>
      <c r="BW325" s="161"/>
      <c r="BX325" s="161"/>
      <c r="BY325" s="161"/>
      <c r="BZ325" s="161"/>
      <c r="CA325" s="160"/>
      <c r="CC325" s="110"/>
      <c r="CD325" s="111" t="str">
        <f t="shared" si="347"/>
        <v>Porcinos de Cría - Clima Frío</v>
      </c>
      <c r="CE325" s="92" t="s">
        <v>688</v>
      </c>
      <c r="CF325" s="165">
        <f t="shared" si="349"/>
        <v>3.6874624593750003</v>
      </c>
      <c r="CG325" s="92" t="s">
        <v>636</v>
      </c>
      <c r="CH325" s="98">
        <v>0.2</v>
      </c>
      <c r="CI325" s="98">
        <v>0.5</v>
      </c>
      <c r="CJ325" s="97" t="s">
        <v>442</v>
      </c>
      <c r="CK325" s="165">
        <f t="shared" si="348"/>
        <v>0.15899400000000002</v>
      </c>
      <c r="CL325" s="92" t="s">
        <v>689</v>
      </c>
      <c r="CM325" s="98">
        <v>0.2</v>
      </c>
      <c r="CN325" s="98">
        <v>0.5</v>
      </c>
      <c r="CO325" s="97" t="s">
        <v>442</v>
      </c>
      <c r="CP325" s="41"/>
      <c r="CQ325" s="96">
        <v>0</v>
      </c>
      <c r="CR325" s="92" t="s">
        <v>632</v>
      </c>
      <c r="CS325" s="41"/>
      <c r="CT325" s="96">
        <v>14.9851428571429</v>
      </c>
      <c r="CU325" s="92" t="s">
        <v>632</v>
      </c>
      <c r="CV325" s="41"/>
      <c r="CW325" s="41"/>
      <c r="CX325" s="39"/>
      <c r="CY325" s="39"/>
      <c r="CZ325" s="41"/>
      <c r="DA325" s="41"/>
      <c r="DB325" s="41"/>
      <c r="DC325" s="41"/>
      <c r="DD325" s="39"/>
      <c r="DE325" s="39"/>
      <c r="DF325" s="41"/>
      <c r="DG325" s="41"/>
      <c r="DH325" s="41"/>
      <c r="DI325" s="42"/>
      <c r="DJ325" s="43">
        <v>0.2</v>
      </c>
      <c r="DK325" s="43">
        <v>0.1</v>
      </c>
      <c r="DS325" s="30" t="s">
        <v>711</v>
      </c>
      <c r="DT325" s="30">
        <v>0</v>
      </c>
      <c r="DU325" s="71">
        <f t="shared" si="350"/>
        <v>0</v>
      </c>
      <c r="DV325" s="71">
        <f t="shared" si="351"/>
        <v>0</v>
      </c>
      <c r="DW325" s="30">
        <v>16</v>
      </c>
      <c r="DX325" s="30">
        <v>0.4</v>
      </c>
      <c r="DY325" s="71">
        <f t="shared" si="352"/>
        <v>6.4</v>
      </c>
      <c r="DZ325" s="30">
        <v>5.0000000000000001E-3</v>
      </c>
      <c r="EA325" s="169">
        <f t="shared" si="353"/>
        <v>5.0285714285714281E-2</v>
      </c>
      <c r="EB325" s="169">
        <f t="shared" si="354"/>
        <v>15.588571428571427</v>
      </c>
      <c r="EC325" s="169">
        <f t="shared" si="355"/>
        <v>14.985142857142856</v>
      </c>
      <c r="ED325" s="170">
        <f t="shared" si="356"/>
        <v>15.588571428571427</v>
      </c>
      <c r="EE325" s="170">
        <f t="shared" si="356"/>
        <v>14.985142857142856</v>
      </c>
      <c r="EF325" s="42" t="s">
        <v>688</v>
      </c>
      <c r="EG325" s="30" t="s">
        <v>693</v>
      </c>
    </row>
    <row r="326" spans="17:137" s="30" customFormat="1" ht="28.15" thickBot="1">
      <c r="Q326" s="120" t="s">
        <v>712</v>
      </c>
      <c r="S326" s="143">
        <v>0.55000000000000004</v>
      </c>
      <c r="T326" s="143">
        <v>28</v>
      </c>
      <c r="U326" s="146">
        <f t="shared" si="338"/>
        <v>0</v>
      </c>
      <c r="V326" s="146">
        <f t="shared" si="338"/>
        <v>0</v>
      </c>
      <c r="W326" s="146">
        <f t="shared" si="338"/>
        <v>4.4165000000000003E-2</v>
      </c>
      <c r="X326" s="145">
        <f t="shared" si="338"/>
        <v>0.17666000000000001</v>
      </c>
      <c r="Y326" s="146">
        <f t="shared" si="338"/>
        <v>4.4165000000000003E-2</v>
      </c>
      <c r="Z326" s="146">
        <f t="shared" si="338"/>
        <v>0</v>
      </c>
      <c r="AA326" s="146">
        <f t="shared" si="338"/>
        <v>8.8330000000000006E-2</v>
      </c>
      <c r="AB326" s="149">
        <f t="shared" si="338"/>
        <v>0.61831000000000003</v>
      </c>
      <c r="AC326" s="146">
        <f t="shared" si="338"/>
        <v>0.61831000000000003</v>
      </c>
      <c r="AD326" s="146">
        <f t="shared" si="338"/>
        <v>0</v>
      </c>
      <c r="AE326" s="146">
        <f t="shared" si="338"/>
        <v>0</v>
      </c>
      <c r="AF326" s="146">
        <f t="shared" si="338"/>
        <v>5.299800000000001E-2</v>
      </c>
      <c r="AG326" s="146">
        <f t="shared" si="338"/>
        <v>0</v>
      </c>
      <c r="AH326" s="146">
        <f t="shared" si="338"/>
        <v>0.88330000000000009</v>
      </c>
      <c r="AI326" s="146">
        <v>0</v>
      </c>
      <c r="AJ326" s="153">
        <f t="shared" si="338"/>
        <v>8.8330000000000006E-2</v>
      </c>
      <c r="AK326" s="146">
        <f t="shared" ref="AJ326:AK333" si="357">((($S326*($T326/1000)*365)*1)*AK$306)*(44/28)</f>
        <v>8.8330000000000006E-2</v>
      </c>
      <c r="AL326" s="156">
        <f t="shared" si="340"/>
        <v>0.15899400000000002</v>
      </c>
      <c r="AM326" s="29">
        <v>1</v>
      </c>
      <c r="AN326" s="29">
        <v>39</v>
      </c>
      <c r="AP326" s="29">
        <v>27</v>
      </c>
      <c r="AQ326" s="158">
        <v>0.3</v>
      </c>
      <c r="AR326" s="157">
        <v>0.3</v>
      </c>
      <c r="AS326" s="159">
        <v>0.3</v>
      </c>
      <c r="AT326" s="159">
        <v>0.28999999999999998</v>
      </c>
      <c r="AU326" s="161">
        <f>(AS326*365)*(AT326*0.67*0.015*1)</f>
        <v>0.31913775</v>
      </c>
      <c r="AV326" s="161">
        <f>(AS326*365)*(AT326*0.67*0.005*1)</f>
        <v>0.10637925000000001</v>
      </c>
      <c r="AW326" s="163"/>
      <c r="AX326" s="161">
        <f>(AS326*365)*(AT326*0.67*0.04*1)</f>
        <v>0.85103400000000007</v>
      </c>
      <c r="AY326" s="161">
        <f>(AS326*365)*(AT326*0.67*0.015*1)</f>
        <v>0.31913775</v>
      </c>
      <c r="AZ326" s="162">
        <f>(AR326*365)*(AS326*0.67*0.65*1)</f>
        <v>14.306175000000001</v>
      </c>
      <c r="BA326" s="161">
        <f>(AS326*365)*(AT326*0.67*0.65*1)</f>
        <v>13.829302500000002</v>
      </c>
      <c r="BB326" s="161">
        <f>(AS326*365)*(AT326*0.67*0.79*1)</f>
        <v>16.807921499999999</v>
      </c>
      <c r="BC326" s="161">
        <f>(AS326*365)*(AT326*0.67*0.03*1)</f>
        <v>0.6382755</v>
      </c>
      <c r="BD326" s="163"/>
      <c r="BE326" s="161">
        <f>(AS326*365)*(AT326*0.67*0.65*1)</f>
        <v>13.829302500000002</v>
      </c>
      <c r="BF326" s="161">
        <f t="shared" si="341"/>
        <v>21.275849999999998</v>
      </c>
      <c r="BG326" s="162">
        <f t="shared" si="342"/>
        <v>2.2009500000000002</v>
      </c>
      <c r="BH326" s="161">
        <f t="shared" si="342"/>
        <v>2.1275850000000003</v>
      </c>
      <c r="BI326" s="161">
        <f t="shared" si="343"/>
        <v>0.10637925000000001</v>
      </c>
      <c r="BJ326" s="161">
        <f>(AS326*365)*(AT326*0.67*0.01*1)</f>
        <v>0.21275850000000002</v>
      </c>
      <c r="BK326" s="161">
        <v>0</v>
      </c>
      <c r="BL326" s="161">
        <v>0</v>
      </c>
      <c r="BM326" s="161">
        <f>(BA326*365)*(BB326*0.67*0.65*1)</f>
        <v>36948.372322531017</v>
      </c>
      <c r="BN326" s="161">
        <f t="shared" si="344"/>
        <v>56843.649726970791</v>
      </c>
      <c r="BO326" s="162">
        <f t="shared" si="345"/>
        <v>4838.2853325007882</v>
      </c>
      <c r="BP326" s="161">
        <f t="shared" si="345"/>
        <v>5684.3649726970798</v>
      </c>
      <c r="BQ326" s="161">
        <f>(BA326*365)*(BB326*0.67*0.01*1)</f>
        <v>568.43649726970796</v>
      </c>
      <c r="BR326" s="161">
        <v>0</v>
      </c>
      <c r="BS326" s="161">
        <v>0</v>
      </c>
      <c r="BT326" s="160">
        <f t="shared" si="346"/>
        <v>5.4331367812500009</v>
      </c>
      <c r="BU326" s="161"/>
      <c r="BV326" s="162"/>
      <c r="BW326" s="161"/>
      <c r="BX326" s="161"/>
      <c r="BY326" s="161"/>
      <c r="BZ326" s="161"/>
      <c r="CA326" s="160"/>
      <c r="CC326" s="110"/>
      <c r="CD326" s="111" t="str">
        <f t="shared" si="347"/>
        <v>Porcinos de Cría - Clima Templado</v>
      </c>
      <c r="CE326" s="92" t="s">
        <v>688</v>
      </c>
      <c r="CF326" s="165">
        <f t="shared" si="349"/>
        <v>5.4331367812500009</v>
      </c>
      <c r="CG326" s="92" t="s">
        <v>636</v>
      </c>
      <c r="CH326" s="98">
        <v>0.2</v>
      </c>
      <c r="CI326" s="98">
        <v>0.5</v>
      </c>
      <c r="CJ326" s="97" t="s">
        <v>442</v>
      </c>
      <c r="CK326" s="165">
        <f t="shared" si="348"/>
        <v>0.15899400000000002</v>
      </c>
      <c r="CL326" s="92" t="s">
        <v>689</v>
      </c>
      <c r="CM326" s="98">
        <v>0.2</v>
      </c>
      <c r="CN326" s="98">
        <v>0.5</v>
      </c>
      <c r="CO326" s="97" t="s">
        <v>442</v>
      </c>
      <c r="CP326" s="41"/>
      <c r="CQ326" s="96">
        <v>25</v>
      </c>
      <c r="CR326" s="92" t="s">
        <v>632</v>
      </c>
      <c r="CS326" s="41"/>
      <c r="CT326" s="96">
        <v>14.9851428571429</v>
      </c>
      <c r="CU326" s="92" t="s">
        <v>632</v>
      </c>
      <c r="CV326" s="41"/>
      <c r="CW326" s="41"/>
      <c r="CX326" s="39"/>
      <c r="CY326" s="39"/>
      <c r="CZ326" s="41"/>
      <c r="DA326" s="41"/>
      <c r="DB326" s="41"/>
      <c r="DC326" s="41"/>
      <c r="DD326" s="39"/>
      <c r="DE326" s="39"/>
      <c r="DF326" s="41"/>
      <c r="DG326" s="41"/>
      <c r="DH326" s="41"/>
      <c r="DI326" s="42"/>
      <c r="DJ326" s="43">
        <v>0.2</v>
      </c>
      <c r="DK326" s="43">
        <v>0.1</v>
      </c>
      <c r="DS326" s="30" t="s">
        <v>713</v>
      </c>
      <c r="DT326" s="30">
        <v>1</v>
      </c>
      <c r="DU326" s="71">
        <f t="shared" si="350"/>
        <v>21</v>
      </c>
      <c r="DV326" s="71">
        <f t="shared" si="351"/>
        <v>25</v>
      </c>
      <c r="DW326" s="30">
        <v>16</v>
      </c>
      <c r="DX326" s="30">
        <v>0.4</v>
      </c>
      <c r="DY326" s="71">
        <f t="shared" si="352"/>
        <v>6.4</v>
      </c>
      <c r="DZ326" s="30">
        <v>5.0000000000000001E-3</v>
      </c>
      <c r="EA326" s="169">
        <f t="shared" si="353"/>
        <v>5.0285714285714281E-2</v>
      </c>
      <c r="EB326" s="169">
        <f t="shared" si="354"/>
        <v>15.588571428571427</v>
      </c>
      <c r="EC326" s="169">
        <f t="shared" si="355"/>
        <v>14.985142857142856</v>
      </c>
      <c r="ED326" s="170">
        <f t="shared" si="356"/>
        <v>36.588571428571427</v>
      </c>
      <c r="EE326" s="170">
        <f t="shared" si="356"/>
        <v>39.985142857142854</v>
      </c>
      <c r="EF326" s="42" t="s">
        <v>688</v>
      </c>
      <c r="EG326" s="30" t="s">
        <v>693</v>
      </c>
    </row>
    <row r="327" spans="17:137" s="30" customFormat="1" ht="28.15" thickBot="1">
      <c r="Q327" s="120" t="s">
        <v>714</v>
      </c>
      <c r="S327" s="143">
        <v>0.55000000000000004</v>
      </c>
      <c r="T327" s="143">
        <v>28</v>
      </c>
      <c r="U327" s="146">
        <f t="shared" si="338"/>
        <v>0</v>
      </c>
      <c r="V327" s="146">
        <f t="shared" si="338"/>
        <v>0</v>
      </c>
      <c r="W327" s="146">
        <f t="shared" si="338"/>
        <v>4.4165000000000003E-2</v>
      </c>
      <c r="X327" s="145">
        <f t="shared" si="338"/>
        <v>0.17666000000000001</v>
      </c>
      <c r="Y327" s="146">
        <f t="shared" si="338"/>
        <v>4.4165000000000003E-2</v>
      </c>
      <c r="Z327" s="146">
        <f t="shared" si="338"/>
        <v>0</v>
      </c>
      <c r="AA327" s="146">
        <f t="shared" ref="AA327:AH327" si="358">((($S327*($T327/1000)*365)*1)*AA$306)*(44/28)</f>
        <v>8.8330000000000006E-2</v>
      </c>
      <c r="AB327" s="149">
        <f t="shared" si="358"/>
        <v>0.61831000000000003</v>
      </c>
      <c r="AC327" s="146">
        <f t="shared" si="358"/>
        <v>0.61831000000000003</v>
      </c>
      <c r="AD327" s="146">
        <f t="shared" si="358"/>
        <v>0</v>
      </c>
      <c r="AE327" s="146">
        <f t="shared" si="358"/>
        <v>0</v>
      </c>
      <c r="AF327" s="146">
        <f t="shared" si="358"/>
        <v>5.299800000000001E-2</v>
      </c>
      <c r="AG327" s="146">
        <f t="shared" si="358"/>
        <v>0</v>
      </c>
      <c r="AH327" s="146">
        <f t="shared" si="358"/>
        <v>0.88330000000000009</v>
      </c>
      <c r="AI327" s="146">
        <v>0</v>
      </c>
      <c r="AJ327" s="153">
        <f t="shared" si="357"/>
        <v>8.8330000000000006E-2</v>
      </c>
      <c r="AK327" s="146">
        <f t="shared" si="357"/>
        <v>8.8330000000000006E-2</v>
      </c>
      <c r="AL327" s="156">
        <f t="shared" si="340"/>
        <v>0.15899400000000002</v>
      </c>
      <c r="AM327" s="29">
        <v>2</v>
      </c>
      <c r="AN327" s="29">
        <v>45</v>
      </c>
      <c r="AP327" s="29">
        <v>33</v>
      </c>
      <c r="AQ327" s="158">
        <v>0.3</v>
      </c>
      <c r="AR327" s="157">
        <v>0.3</v>
      </c>
      <c r="AS327" s="159">
        <v>0.3</v>
      </c>
      <c r="AT327" s="159">
        <v>0.28999999999999998</v>
      </c>
      <c r="AU327" s="161">
        <f>(AS327*365)*(AT327*0.67*0.02*1)</f>
        <v>0.42551700000000003</v>
      </c>
      <c r="AV327" s="161">
        <f>(AS327*365)*(AT327*0.67*0.01*1)</f>
        <v>0.21275850000000002</v>
      </c>
      <c r="AW327" s="163"/>
      <c r="AX327" s="161">
        <f>(AS327*365)*(AT327*0.67*0.05*1)</f>
        <v>1.0637925000000001</v>
      </c>
      <c r="AY327" s="161">
        <f>(AS327*365)*(AT327*0.67*0.02*1)</f>
        <v>0.42551700000000003</v>
      </c>
      <c r="AZ327" s="162">
        <f>(AR327*365)*(AS327*0.67*0.8*1)</f>
        <v>17.607600000000001</v>
      </c>
      <c r="BA327" s="161">
        <f>(AS327*365)*(AT327*0.67*0.8*1)</f>
        <v>17.020680000000002</v>
      </c>
      <c r="BB327" s="161">
        <f>(AS327*365)*(AT327*0.67*0.8*1)</f>
        <v>17.020680000000002</v>
      </c>
      <c r="BC327" s="161">
        <f>(AS327*365)*(AT327*0.67*0.3*1)</f>
        <v>6.3827549999999995</v>
      </c>
      <c r="BD327" s="163"/>
      <c r="BE327" s="161">
        <f>(AS327*365)*(AT327*0.67*0.8*1)</f>
        <v>17.020680000000002</v>
      </c>
      <c r="BF327" s="161">
        <f t="shared" si="341"/>
        <v>21.275849999999998</v>
      </c>
      <c r="BG327" s="162">
        <f t="shared" si="342"/>
        <v>2.2009500000000002</v>
      </c>
      <c r="BH327" s="161">
        <f t="shared" si="342"/>
        <v>2.1275850000000003</v>
      </c>
      <c r="BI327" s="161">
        <f t="shared" si="343"/>
        <v>0.10637925000000001</v>
      </c>
      <c r="BJ327" s="161">
        <f>(AS327*365)*(AT327*0.67*0.015*1)</f>
        <v>0.31913775</v>
      </c>
      <c r="BK327" s="161">
        <v>0</v>
      </c>
      <c r="BL327" s="161">
        <v>0</v>
      </c>
      <c r="BM327" s="161">
        <f>(BA327*365)*(BB327*0.67*0.8*1)</f>
        <v>56677.602064671955</v>
      </c>
      <c r="BN327" s="161">
        <f t="shared" si="344"/>
        <v>70847.002580839937</v>
      </c>
      <c r="BO327" s="162">
        <f t="shared" si="345"/>
        <v>7329.0002669834412</v>
      </c>
      <c r="BP327" s="161">
        <f t="shared" si="345"/>
        <v>7084.7002580839944</v>
      </c>
      <c r="BQ327" s="161">
        <f>(BA327*365)*(BB327*0.67*0.015*1)</f>
        <v>1062.7050387125992</v>
      </c>
      <c r="BR327" s="161">
        <v>0</v>
      </c>
      <c r="BS327" s="161">
        <v>0</v>
      </c>
      <c r="BT327" s="160">
        <f t="shared" si="346"/>
        <v>6.4506176249999996</v>
      </c>
      <c r="BU327" s="161"/>
      <c r="BV327" s="162"/>
      <c r="BW327" s="161"/>
      <c r="BX327" s="161"/>
      <c r="BY327" s="161"/>
      <c r="BZ327" s="161"/>
      <c r="CA327" s="160"/>
      <c r="CC327" s="110"/>
      <c r="CD327" s="111" t="str">
        <f t="shared" si="347"/>
        <v>Porcinos de Cría - Clima Cálido</v>
      </c>
      <c r="CE327" s="92" t="s">
        <v>688</v>
      </c>
      <c r="CF327" s="165">
        <f t="shared" si="349"/>
        <v>6.4506176249999996</v>
      </c>
      <c r="CG327" s="92" t="s">
        <v>636</v>
      </c>
      <c r="CH327" s="98">
        <v>0.2</v>
      </c>
      <c r="CI327" s="98">
        <v>0.5</v>
      </c>
      <c r="CJ327" s="97" t="s">
        <v>442</v>
      </c>
      <c r="CK327" s="165">
        <f t="shared" si="348"/>
        <v>0.15899400000000002</v>
      </c>
      <c r="CL327" s="92" t="s">
        <v>689</v>
      </c>
      <c r="CM327" s="98">
        <v>0.2</v>
      </c>
      <c r="CN327" s="98">
        <v>0.5</v>
      </c>
      <c r="CO327" s="97" t="s">
        <v>442</v>
      </c>
      <c r="CP327" s="41"/>
      <c r="CQ327" s="96">
        <v>50</v>
      </c>
      <c r="CR327" s="92" t="s">
        <v>632</v>
      </c>
      <c r="CS327" s="41"/>
      <c r="CT327" s="96">
        <v>14.9851428571429</v>
      </c>
      <c r="CU327" s="92" t="s">
        <v>632</v>
      </c>
      <c r="CV327" s="41"/>
      <c r="CW327" s="41"/>
      <c r="CX327" s="39"/>
      <c r="CY327" s="39"/>
      <c r="CZ327" s="41"/>
      <c r="DA327" s="41"/>
      <c r="DB327" s="41"/>
      <c r="DC327" s="41"/>
      <c r="DD327" s="39"/>
      <c r="DE327" s="39"/>
      <c r="DF327" s="41"/>
      <c r="DG327" s="41"/>
      <c r="DH327" s="41"/>
      <c r="DI327" s="42"/>
      <c r="DJ327" s="43">
        <v>0.2</v>
      </c>
      <c r="DK327" s="43">
        <v>0.1</v>
      </c>
      <c r="DS327" s="30" t="s">
        <v>715</v>
      </c>
      <c r="DT327" s="30">
        <v>2</v>
      </c>
      <c r="DU327" s="71">
        <f t="shared" si="350"/>
        <v>42</v>
      </c>
      <c r="DV327" s="71">
        <f t="shared" si="351"/>
        <v>50</v>
      </c>
      <c r="DW327" s="30">
        <v>16</v>
      </c>
      <c r="DX327" s="30">
        <v>0.4</v>
      </c>
      <c r="DY327" s="71">
        <f t="shared" si="352"/>
        <v>6.4</v>
      </c>
      <c r="DZ327" s="30">
        <v>5.0000000000000001E-3</v>
      </c>
      <c r="EA327" s="169">
        <f t="shared" si="353"/>
        <v>5.0285714285714281E-2</v>
      </c>
      <c r="EB327" s="169">
        <f t="shared" si="354"/>
        <v>15.588571428571427</v>
      </c>
      <c r="EC327" s="169">
        <f t="shared" si="355"/>
        <v>14.985142857142856</v>
      </c>
      <c r="ED327" s="170">
        <f t="shared" si="356"/>
        <v>57.588571428571427</v>
      </c>
      <c r="EE327" s="170">
        <f t="shared" si="356"/>
        <v>64.985142857142861</v>
      </c>
      <c r="EF327" s="42" t="s">
        <v>688</v>
      </c>
      <c r="EG327" s="30" t="s">
        <v>693</v>
      </c>
    </row>
    <row r="328" spans="17:137" s="30" customFormat="1" ht="28.15" thickBot="1">
      <c r="Q328" s="120" t="s">
        <v>716</v>
      </c>
      <c r="S328" s="143">
        <v>0.32</v>
      </c>
      <c r="T328" s="143">
        <v>380</v>
      </c>
      <c r="U328" s="146">
        <f t="shared" ref="U328:AH333" si="359">((($S328*($T328/1000)*365)*1)*U$306)*(44/28)</f>
        <v>0</v>
      </c>
      <c r="V328" s="146">
        <f t="shared" si="359"/>
        <v>0</v>
      </c>
      <c r="W328" s="146">
        <f t="shared" si="359"/>
        <v>0.34873142857142858</v>
      </c>
      <c r="X328" s="145">
        <f t="shared" si="359"/>
        <v>1.3949257142857143</v>
      </c>
      <c r="Y328" s="146">
        <f t="shared" si="359"/>
        <v>0.34873142857142858</v>
      </c>
      <c r="Z328" s="146">
        <f t="shared" si="359"/>
        <v>0</v>
      </c>
      <c r="AA328" s="146">
        <f t="shared" si="359"/>
        <v>0.69746285714285716</v>
      </c>
      <c r="AB328" s="149">
        <f t="shared" si="359"/>
        <v>4.8822400000000004</v>
      </c>
      <c r="AC328" s="146">
        <f t="shared" si="359"/>
        <v>4.8822400000000004</v>
      </c>
      <c r="AD328" s="146">
        <f t="shared" si="359"/>
        <v>0</v>
      </c>
      <c r="AE328" s="146">
        <f t="shared" si="359"/>
        <v>0</v>
      </c>
      <c r="AF328" s="146">
        <f t="shared" si="359"/>
        <v>0.41847771428571423</v>
      </c>
      <c r="AG328" s="146">
        <f t="shared" si="359"/>
        <v>0</v>
      </c>
      <c r="AH328" s="146">
        <f t="shared" si="359"/>
        <v>6.9746285714285721</v>
      </c>
      <c r="AI328" s="146">
        <v>0</v>
      </c>
      <c r="AJ328" s="153">
        <f t="shared" si="357"/>
        <v>0.69746285714285716</v>
      </c>
      <c r="AK328" s="146">
        <f t="shared" si="357"/>
        <v>0.69746285714285716</v>
      </c>
      <c r="AL328" s="156">
        <f t="shared" si="340"/>
        <v>1.2554331428571428</v>
      </c>
      <c r="AM328" s="29">
        <v>1</v>
      </c>
      <c r="AN328" s="31">
        <v>0</v>
      </c>
      <c r="AP328" s="29">
        <v>5</v>
      </c>
      <c r="AQ328" s="158">
        <v>0.3</v>
      </c>
      <c r="AR328" s="157">
        <v>3.9</v>
      </c>
      <c r="AS328" s="159">
        <v>3.9</v>
      </c>
      <c r="AT328" s="159">
        <v>0.1</v>
      </c>
      <c r="AU328" s="161">
        <f>(AS328*365)*(AT328*0.67*0.01*1)</f>
        <v>0.95374500000000006</v>
      </c>
      <c r="AV328" s="161">
        <f>(AS328*365)*(AT328*0.67*0.001*1)</f>
        <v>9.5374500000000001E-2</v>
      </c>
      <c r="AW328" s="163"/>
      <c r="AX328" s="161">
        <f>(AS328*365)*(AT328*0.67*0.02*1)</f>
        <v>1.9074900000000001</v>
      </c>
      <c r="AY328" s="161">
        <f>(AS328*365)*(AT328*0.67*0.01*1)</f>
        <v>0.95374500000000006</v>
      </c>
      <c r="AZ328" s="162">
        <f>(AR328*365)*(AS328*0.67*0.25*1)</f>
        <v>929.90137500000003</v>
      </c>
      <c r="BA328" s="161">
        <f>(AS328*365)*(AT328*0.67*0.25*1)</f>
        <v>23.843625000000003</v>
      </c>
      <c r="BB328" s="161">
        <f>(AS328*365)*(AT328*0.67*0.73*1)</f>
        <v>69.623384999999999</v>
      </c>
      <c r="BC328" s="161">
        <f>(AS328*365)*(AT328*0.67*0.03*1)</f>
        <v>2.8612350000000002</v>
      </c>
      <c r="BD328" s="163"/>
      <c r="BE328" s="161">
        <f>(AS328*365)*(AT328*0.67*0.25*1)</f>
        <v>23.843625000000003</v>
      </c>
      <c r="BF328" s="161">
        <f t="shared" si="341"/>
        <v>95.374500000000012</v>
      </c>
      <c r="BG328" s="162">
        <f t="shared" si="342"/>
        <v>371.96055000000007</v>
      </c>
      <c r="BH328" s="161">
        <f t="shared" si="342"/>
        <v>9.5374500000000015</v>
      </c>
      <c r="BI328" s="161">
        <f t="shared" si="343"/>
        <v>0.47687250000000003</v>
      </c>
      <c r="BJ328" s="161">
        <f>(AS328*365)*(AT328*0.67*0.005*1)</f>
        <v>0.47687250000000003</v>
      </c>
      <c r="BK328" s="161">
        <v>0</v>
      </c>
      <c r="BL328" s="161">
        <v>0</v>
      </c>
      <c r="BM328" s="161">
        <f>(BA328*365)*(BB328*0.67*0.25*1)</f>
        <v>101492.7670323441</v>
      </c>
      <c r="BN328" s="161">
        <f t="shared" si="344"/>
        <v>405971.06812937639</v>
      </c>
      <c r="BO328" s="162">
        <f t="shared" si="345"/>
        <v>542221.63209060556</v>
      </c>
      <c r="BP328" s="161">
        <f t="shared" si="345"/>
        <v>40597.106812937644</v>
      </c>
      <c r="BQ328" s="161">
        <f>(BA328*365)*(BB328*0.67*0.005*1)</f>
        <v>2029.855340646882</v>
      </c>
      <c r="BR328" s="161">
        <v>0</v>
      </c>
      <c r="BS328" s="161">
        <v>0</v>
      </c>
      <c r="BT328" s="160">
        <f t="shared" si="346"/>
        <v>95.738115281250003</v>
      </c>
      <c r="BU328" s="161"/>
      <c r="BV328" s="162"/>
      <c r="BW328" s="161"/>
      <c r="BX328" s="161"/>
      <c r="BY328" s="161"/>
      <c r="BZ328" s="161"/>
      <c r="CA328" s="160"/>
      <c r="CC328" s="110"/>
      <c r="CD328" s="111" t="str">
        <f t="shared" si="347"/>
        <v>Búfalos - Clima Frío</v>
      </c>
      <c r="CE328" s="92" t="s">
        <v>688</v>
      </c>
      <c r="CF328" s="165">
        <f t="shared" si="349"/>
        <v>95.738115281250003</v>
      </c>
      <c r="CG328" s="92" t="s">
        <v>636</v>
      </c>
      <c r="CH328" s="98">
        <v>0.2</v>
      </c>
      <c r="CI328" s="98">
        <v>0.5</v>
      </c>
      <c r="CJ328" s="97" t="s">
        <v>442</v>
      </c>
      <c r="CK328" s="165">
        <f t="shared" si="348"/>
        <v>1.2554331428571428</v>
      </c>
      <c r="CL328" s="92" t="s">
        <v>689</v>
      </c>
      <c r="CM328" s="98">
        <v>0.2</v>
      </c>
      <c r="CN328" s="98">
        <v>0.5</v>
      </c>
      <c r="CO328" s="97" t="s">
        <v>442</v>
      </c>
      <c r="CP328" s="41"/>
      <c r="CQ328" s="96">
        <v>25</v>
      </c>
      <c r="CR328" s="92" t="s">
        <v>632</v>
      </c>
      <c r="CS328" s="41"/>
      <c r="CT328" s="96">
        <v>370.88228571428601</v>
      </c>
      <c r="CU328" s="92" t="s">
        <v>632</v>
      </c>
      <c r="CV328" s="41"/>
      <c r="CW328" s="41"/>
      <c r="CX328" s="39"/>
      <c r="CY328" s="39"/>
      <c r="CZ328" s="41"/>
      <c r="DA328" s="41"/>
      <c r="DB328" s="41"/>
      <c r="DC328" s="41"/>
      <c r="DD328" s="39"/>
      <c r="DE328" s="39"/>
      <c r="DF328" s="41"/>
      <c r="DG328" s="41"/>
      <c r="DH328" s="41"/>
      <c r="DI328" s="42"/>
      <c r="DJ328" s="43">
        <v>0.2</v>
      </c>
      <c r="DK328" s="43">
        <v>0.25</v>
      </c>
      <c r="DS328" s="30" t="s">
        <v>716</v>
      </c>
      <c r="DT328" s="30">
        <v>1</v>
      </c>
      <c r="DU328" s="71">
        <f t="shared" si="350"/>
        <v>21</v>
      </c>
      <c r="DV328" s="71">
        <f t="shared" si="351"/>
        <v>25</v>
      </c>
      <c r="DW328" s="30">
        <v>40</v>
      </c>
      <c r="DX328" s="30">
        <v>0.99</v>
      </c>
      <c r="DY328" s="71">
        <f t="shared" si="352"/>
        <v>39.6</v>
      </c>
      <c r="DZ328" s="30">
        <v>0.02</v>
      </c>
      <c r="EA328" s="169">
        <f t="shared" si="353"/>
        <v>1.2445714285714284</v>
      </c>
      <c r="EB328" s="169">
        <f t="shared" si="354"/>
        <v>385.81714285714281</v>
      </c>
      <c r="EC328" s="169">
        <f t="shared" si="355"/>
        <v>370.88228571428567</v>
      </c>
      <c r="ED328" s="170">
        <f t="shared" si="356"/>
        <v>406.81714285714281</v>
      </c>
      <c r="EE328" s="170">
        <f t="shared" si="356"/>
        <v>395.88228571428567</v>
      </c>
      <c r="EF328" s="42" t="s">
        <v>688</v>
      </c>
      <c r="EG328" s="30" t="s">
        <v>693</v>
      </c>
    </row>
    <row r="329" spans="17:137" s="30" customFormat="1" ht="28.15" thickBot="1">
      <c r="Q329" s="120" t="s">
        <v>717</v>
      </c>
      <c r="S329" s="143">
        <v>0.32</v>
      </c>
      <c r="T329" s="143">
        <v>380</v>
      </c>
      <c r="U329" s="146">
        <f t="shared" si="359"/>
        <v>0</v>
      </c>
      <c r="V329" s="146">
        <f t="shared" si="359"/>
        <v>0</v>
      </c>
      <c r="W329" s="146">
        <f t="shared" si="359"/>
        <v>0.34873142857142858</v>
      </c>
      <c r="X329" s="145">
        <f t="shared" si="359"/>
        <v>1.3949257142857143</v>
      </c>
      <c r="Y329" s="146">
        <f t="shared" si="359"/>
        <v>0.34873142857142858</v>
      </c>
      <c r="Z329" s="146">
        <f t="shared" si="359"/>
        <v>0</v>
      </c>
      <c r="AA329" s="146">
        <f t="shared" si="359"/>
        <v>0.69746285714285716</v>
      </c>
      <c r="AB329" s="149">
        <f t="shared" si="359"/>
        <v>4.8822400000000004</v>
      </c>
      <c r="AC329" s="146">
        <f t="shared" si="359"/>
        <v>4.8822400000000004</v>
      </c>
      <c r="AD329" s="146">
        <f t="shared" si="359"/>
        <v>0</v>
      </c>
      <c r="AE329" s="146">
        <f t="shared" si="359"/>
        <v>0</v>
      </c>
      <c r="AF329" s="146">
        <f t="shared" si="359"/>
        <v>0.41847771428571423</v>
      </c>
      <c r="AG329" s="146">
        <f t="shared" si="359"/>
        <v>0</v>
      </c>
      <c r="AH329" s="146">
        <f t="shared" si="359"/>
        <v>6.9746285714285721</v>
      </c>
      <c r="AI329" s="146">
        <v>0</v>
      </c>
      <c r="AJ329" s="153">
        <f t="shared" si="357"/>
        <v>0.69746285714285716</v>
      </c>
      <c r="AK329" s="146">
        <f t="shared" si="357"/>
        <v>0.69746285714285716</v>
      </c>
      <c r="AL329" s="156">
        <f t="shared" si="340"/>
        <v>1.2554331428571428</v>
      </c>
      <c r="AM329" s="29">
        <v>1</v>
      </c>
      <c r="AN329" s="31">
        <v>0</v>
      </c>
      <c r="AP329" s="29">
        <v>14</v>
      </c>
      <c r="AQ329" s="158">
        <v>0.3</v>
      </c>
      <c r="AR329" s="157">
        <v>3.9</v>
      </c>
      <c r="AS329" s="159">
        <v>3.9</v>
      </c>
      <c r="AT329" s="159">
        <v>0.1</v>
      </c>
      <c r="AU329" s="161">
        <f>(AS329*365)*(AT329*0.67*0.015*1)</f>
        <v>1.4306175000000001</v>
      </c>
      <c r="AV329" s="161">
        <f>(AS329*365)*(AT329*0.67*0.005*1)</f>
        <v>0.47687250000000003</v>
      </c>
      <c r="AW329" s="163"/>
      <c r="AX329" s="161">
        <f>(AS329*365)*(AT329*0.67*0.04*1)</f>
        <v>3.8149800000000003</v>
      </c>
      <c r="AY329" s="161">
        <f>(AS329*365)*(AT329*0.67*0.015*1)</f>
        <v>1.4306175000000001</v>
      </c>
      <c r="AZ329" s="162">
        <f>(AR329*365)*(AS329*0.67*0.65*1)</f>
        <v>2417.743575</v>
      </c>
      <c r="BA329" s="161">
        <f>(AS329*365)*(AT329*0.67*0.65*1)</f>
        <v>61.993425000000009</v>
      </c>
      <c r="BB329" s="161">
        <f>(AS329*365)*(AT329*0.67*0.79*1)</f>
        <v>75.345855</v>
      </c>
      <c r="BC329" s="161">
        <f>(AS329*365)*(AT329*0.67*0.03*1)</f>
        <v>2.8612350000000002</v>
      </c>
      <c r="BD329" s="163"/>
      <c r="BE329" s="161">
        <f>(AS329*365)*(AT329*0.67*0.65*1)</f>
        <v>61.993425000000009</v>
      </c>
      <c r="BF329" s="161">
        <f t="shared" si="341"/>
        <v>95.374500000000012</v>
      </c>
      <c r="BG329" s="162">
        <f t="shared" si="342"/>
        <v>371.96055000000007</v>
      </c>
      <c r="BH329" s="161">
        <f t="shared" si="342"/>
        <v>9.5374500000000015</v>
      </c>
      <c r="BI329" s="161">
        <f t="shared" si="343"/>
        <v>0.47687250000000003</v>
      </c>
      <c r="BJ329" s="161">
        <f>(AS329*365)*(AT329*0.67*0.01*1)</f>
        <v>0.95374500000000006</v>
      </c>
      <c r="BK329" s="161">
        <v>0</v>
      </c>
      <c r="BL329" s="161">
        <v>0</v>
      </c>
      <c r="BM329" s="161">
        <f>(BA329*365)*(BB329*0.67*0.65*1)</f>
        <v>742482.15487606917</v>
      </c>
      <c r="BN329" s="161">
        <f t="shared" si="344"/>
        <v>1142280.2382708758</v>
      </c>
      <c r="BO329" s="162">
        <f t="shared" si="345"/>
        <v>3665418.2329324931</v>
      </c>
      <c r="BP329" s="161">
        <f t="shared" si="345"/>
        <v>114228.02382708757</v>
      </c>
      <c r="BQ329" s="161">
        <f>(BA329*365)*(BB329*0.67*0.01*1)</f>
        <v>11422.802382708758</v>
      </c>
      <c r="BR329" s="161">
        <v>0</v>
      </c>
      <c r="BS329" s="161">
        <v>0</v>
      </c>
      <c r="BT329" s="160">
        <f t="shared" si="346"/>
        <v>194.08710749999997</v>
      </c>
      <c r="BU329" s="161"/>
      <c r="BV329" s="162"/>
      <c r="BW329" s="161"/>
      <c r="BX329" s="161"/>
      <c r="BY329" s="161"/>
      <c r="BZ329" s="161"/>
      <c r="CA329" s="160"/>
      <c r="CC329" s="110"/>
      <c r="CD329" s="111" t="str">
        <f t="shared" si="347"/>
        <v>Búfalos - Clima Templado</v>
      </c>
      <c r="CE329" s="92" t="s">
        <v>688</v>
      </c>
      <c r="CF329" s="165">
        <f t="shared" si="349"/>
        <v>194.08710749999997</v>
      </c>
      <c r="CG329" s="92" t="s">
        <v>636</v>
      </c>
      <c r="CH329" s="98">
        <v>0.2</v>
      </c>
      <c r="CI329" s="98">
        <v>0.5</v>
      </c>
      <c r="CJ329" s="97" t="s">
        <v>442</v>
      </c>
      <c r="CK329" s="165">
        <f t="shared" si="348"/>
        <v>1.2554331428571428</v>
      </c>
      <c r="CL329" s="92" t="s">
        <v>689</v>
      </c>
      <c r="CM329" s="98">
        <v>0.2</v>
      </c>
      <c r="CN329" s="98">
        <v>0.5</v>
      </c>
      <c r="CO329" s="97" t="s">
        <v>442</v>
      </c>
      <c r="CP329" s="41"/>
      <c r="CQ329" s="96">
        <v>25</v>
      </c>
      <c r="CR329" s="92" t="s">
        <v>632</v>
      </c>
      <c r="CS329" s="41"/>
      <c r="CT329" s="96">
        <v>370.88228571428601</v>
      </c>
      <c r="CU329" s="92" t="s">
        <v>632</v>
      </c>
      <c r="CV329" s="41"/>
      <c r="CW329" s="41"/>
      <c r="CX329" s="39"/>
      <c r="CY329" s="39"/>
      <c r="CZ329" s="41"/>
      <c r="DA329" s="41"/>
      <c r="DB329" s="41"/>
      <c r="DC329" s="41"/>
      <c r="DD329" s="39"/>
      <c r="DE329" s="39"/>
      <c r="DF329" s="41"/>
      <c r="DG329" s="41"/>
      <c r="DH329" s="41"/>
      <c r="DI329" s="42"/>
      <c r="DJ329" s="43">
        <v>0.2</v>
      </c>
      <c r="DK329" s="43">
        <v>0.25</v>
      </c>
      <c r="DS329" s="30" t="s">
        <v>717</v>
      </c>
      <c r="DT329" s="30">
        <v>1</v>
      </c>
      <c r="DU329" s="71">
        <f t="shared" si="350"/>
        <v>21</v>
      </c>
      <c r="DV329" s="71">
        <f t="shared" si="351"/>
        <v>25</v>
      </c>
      <c r="DW329" s="30">
        <v>40</v>
      </c>
      <c r="DX329" s="30">
        <v>0.99</v>
      </c>
      <c r="DY329" s="71">
        <f t="shared" si="352"/>
        <v>39.6</v>
      </c>
      <c r="DZ329" s="30">
        <v>0.02</v>
      </c>
      <c r="EA329" s="169">
        <f t="shared" si="353"/>
        <v>1.2445714285714284</v>
      </c>
      <c r="EB329" s="169">
        <f t="shared" si="354"/>
        <v>385.81714285714281</v>
      </c>
      <c r="EC329" s="169">
        <f t="shared" si="355"/>
        <v>370.88228571428567</v>
      </c>
      <c r="ED329" s="170">
        <f t="shared" si="356"/>
        <v>406.81714285714281</v>
      </c>
      <c r="EE329" s="170">
        <f t="shared" si="356"/>
        <v>395.88228571428567</v>
      </c>
      <c r="EF329" s="42" t="s">
        <v>688</v>
      </c>
      <c r="EG329" s="30" t="s">
        <v>693</v>
      </c>
    </row>
    <row r="330" spans="17:137" s="30" customFormat="1" ht="28.15" thickBot="1">
      <c r="Q330" s="120" t="s">
        <v>718</v>
      </c>
      <c r="S330" s="143">
        <v>0.32</v>
      </c>
      <c r="T330" s="143">
        <v>380</v>
      </c>
      <c r="U330" s="146">
        <f t="shared" si="359"/>
        <v>0</v>
      </c>
      <c r="V330" s="146">
        <f t="shared" si="359"/>
        <v>0</v>
      </c>
      <c r="W330" s="146">
        <f t="shared" si="359"/>
        <v>0.34873142857142858</v>
      </c>
      <c r="X330" s="145">
        <f t="shared" si="359"/>
        <v>1.3949257142857143</v>
      </c>
      <c r="Y330" s="146">
        <f t="shared" si="359"/>
        <v>0.34873142857142858</v>
      </c>
      <c r="Z330" s="146">
        <f t="shared" si="359"/>
        <v>0</v>
      </c>
      <c r="AA330" s="146">
        <f t="shared" si="359"/>
        <v>0.69746285714285716</v>
      </c>
      <c r="AB330" s="149">
        <f t="shared" si="359"/>
        <v>4.8822400000000004</v>
      </c>
      <c r="AC330" s="146">
        <f t="shared" si="359"/>
        <v>4.8822400000000004</v>
      </c>
      <c r="AD330" s="146">
        <f t="shared" si="359"/>
        <v>0</v>
      </c>
      <c r="AE330" s="146">
        <f t="shared" si="359"/>
        <v>0</v>
      </c>
      <c r="AF330" s="146">
        <f t="shared" si="359"/>
        <v>0.41847771428571423</v>
      </c>
      <c r="AG330" s="146">
        <f t="shared" si="359"/>
        <v>0</v>
      </c>
      <c r="AH330" s="146">
        <f t="shared" si="359"/>
        <v>6.9746285714285721</v>
      </c>
      <c r="AI330" s="146">
        <v>0</v>
      </c>
      <c r="AJ330" s="153">
        <f t="shared" si="357"/>
        <v>0.69746285714285716</v>
      </c>
      <c r="AK330" s="146">
        <f t="shared" si="357"/>
        <v>0.69746285714285716</v>
      </c>
      <c r="AL330" s="156">
        <f t="shared" si="340"/>
        <v>1.2554331428571428</v>
      </c>
      <c r="AM330" s="29">
        <v>2</v>
      </c>
      <c r="AN330" s="31">
        <v>0</v>
      </c>
      <c r="AP330" s="29">
        <v>17</v>
      </c>
      <c r="AQ330" s="158">
        <v>0.3</v>
      </c>
      <c r="AR330" s="157">
        <v>3.9</v>
      </c>
      <c r="AS330" s="159">
        <v>3.9</v>
      </c>
      <c r="AT330" s="159">
        <v>0.1</v>
      </c>
      <c r="AU330" s="161">
        <f>(AS330*365)*(AT330*0.67*0.02*1)</f>
        <v>1.9074900000000001</v>
      </c>
      <c r="AV330" s="161">
        <f>(AS330*365)*(AT330*0.67*0.01*1)</f>
        <v>0.95374500000000006</v>
      </c>
      <c r="AW330" s="163"/>
      <c r="AX330" s="161">
        <f>(AS330*365)*(AT330*0.67*0.05*1)</f>
        <v>4.7687250000000008</v>
      </c>
      <c r="AY330" s="161">
        <f>(AS330*365)*(AT330*0.67*0.02*1)</f>
        <v>1.9074900000000001</v>
      </c>
      <c r="AZ330" s="162">
        <f>(AR330*365)*(AS330*0.67*0.8*1)</f>
        <v>2975.6844000000006</v>
      </c>
      <c r="BA330" s="161">
        <f>(AS330*365)*(AT330*0.67*0.8*1)</f>
        <v>76.299600000000012</v>
      </c>
      <c r="BB330" s="161">
        <f>(AS330*365)*(AT330*0.67*0.8*1)</f>
        <v>76.299600000000012</v>
      </c>
      <c r="BC330" s="161">
        <f>(AS330*365)*(AT330*0.67*0.3*1)</f>
        <v>28.612349999999999</v>
      </c>
      <c r="BD330" s="163"/>
      <c r="BE330" s="161">
        <f>(AS330*365)*(AT330*0.67*0.8*1)</f>
        <v>76.299600000000012</v>
      </c>
      <c r="BF330" s="161">
        <f t="shared" si="341"/>
        <v>95.374500000000012</v>
      </c>
      <c r="BG330" s="162">
        <f t="shared" si="342"/>
        <v>371.96055000000007</v>
      </c>
      <c r="BH330" s="161">
        <f t="shared" si="342"/>
        <v>9.5374500000000015</v>
      </c>
      <c r="BI330" s="161">
        <f t="shared" si="343"/>
        <v>0.47687250000000003</v>
      </c>
      <c r="BJ330" s="161">
        <f>(AS330*365)*(AT330*0.67*0.015*1)</f>
        <v>1.4306175000000001</v>
      </c>
      <c r="BK330" s="161">
        <v>0</v>
      </c>
      <c r="BL330" s="161">
        <v>0</v>
      </c>
      <c r="BM330" s="161">
        <f>(BA330*365)*(BB330*0.67*0.8*1)</f>
        <v>1138943.4897657027</v>
      </c>
      <c r="BN330" s="161">
        <f t="shared" si="344"/>
        <v>1423679.3622071284</v>
      </c>
      <c r="BO330" s="162">
        <f t="shared" si="345"/>
        <v>5552349.5126078008</v>
      </c>
      <c r="BP330" s="161">
        <f t="shared" si="345"/>
        <v>142367.93622071284</v>
      </c>
      <c r="BQ330" s="161">
        <f>(BA330*365)*(BB330*0.67*0.015*1)</f>
        <v>21355.190433106927</v>
      </c>
      <c r="BR330" s="161">
        <v>0</v>
      </c>
      <c r="BS330" s="161">
        <v>0</v>
      </c>
      <c r="BT330" s="160">
        <f t="shared" si="346"/>
        <v>232.59456187499998</v>
      </c>
      <c r="BU330" s="161"/>
      <c r="BV330" s="162"/>
      <c r="BW330" s="161"/>
      <c r="BX330" s="161"/>
      <c r="BY330" s="161"/>
      <c r="BZ330" s="161"/>
      <c r="CA330" s="160"/>
      <c r="CC330" s="110"/>
      <c r="CD330" s="111" t="str">
        <f t="shared" si="347"/>
        <v>Búfalos - Clima Cálido</v>
      </c>
      <c r="CE330" s="92" t="s">
        <v>688</v>
      </c>
      <c r="CF330" s="165">
        <f t="shared" si="349"/>
        <v>232.59456187499998</v>
      </c>
      <c r="CG330" s="92" t="s">
        <v>636</v>
      </c>
      <c r="CH330" s="98">
        <v>0.2</v>
      </c>
      <c r="CI330" s="98">
        <v>0.5</v>
      </c>
      <c r="CJ330" s="97" t="s">
        <v>442</v>
      </c>
      <c r="CK330" s="165">
        <f t="shared" si="348"/>
        <v>1.2554331428571428</v>
      </c>
      <c r="CL330" s="92" t="s">
        <v>689</v>
      </c>
      <c r="CM330" s="98">
        <v>0.2</v>
      </c>
      <c r="CN330" s="98">
        <v>0.5</v>
      </c>
      <c r="CO330" s="97" t="s">
        <v>442</v>
      </c>
      <c r="CP330" s="41"/>
      <c r="CQ330" s="96">
        <v>50</v>
      </c>
      <c r="CR330" s="92" t="s">
        <v>632</v>
      </c>
      <c r="CS330" s="41"/>
      <c r="CT330" s="96">
        <v>370.88228571428601</v>
      </c>
      <c r="CU330" s="92" t="s">
        <v>632</v>
      </c>
      <c r="CV330" s="41"/>
      <c r="CW330" s="41"/>
      <c r="CX330" s="39"/>
      <c r="CY330" s="39"/>
      <c r="CZ330" s="41"/>
      <c r="DA330" s="41"/>
      <c r="DB330" s="41"/>
      <c r="DC330" s="41"/>
      <c r="DD330" s="39"/>
      <c r="DE330" s="39"/>
      <c r="DF330" s="41"/>
      <c r="DG330" s="41"/>
      <c r="DH330" s="41"/>
      <c r="DI330" s="42"/>
      <c r="DJ330" s="43">
        <v>0.2</v>
      </c>
      <c r="DK330" s="43">
        <v>0.25</v>
      </c>
      <c r="DS330" s="30" t="s">
        <v>718</v>
      </c>
      <c r="DT330" s="30">
        <v>2</v>
      </c>
      <c r="DU330" s="71">
        <f t="shared" si="350"/>
        <v>42</v>
      </c>
      <c r="DV330" s="71">
        <f t="shared" si="351"/>
        <v>50</v>
      </c>
      <c r="DW330" s="30">
        <v>40</v>
      </c>
      <c r="DX330" s="30">
        <v>0.99</v>
      </c>
      <c r="DY330" s="71">
        <f t="shared" si="352"/>
        <v>39.6</v>
      </c>
      <c r="DZ330" s="30">
        <v>0.02</v>
      </c>
      <c r="EA330" s="169">
        <f t="shared" si="353"/>
        <v>1.2445714285714284</v>
      </c>
      <c r="EB330" s="169">
        <f t="shared" si="354"/>
        <v>385.81714285714281</v>
      </c>
      <c r="EC330" s="169">
        <f t="shared" si="355"/>
        <v>370.88228571428567</v>
      </c>
      <c r="ED330" s="170">
        <f t="shared" si="356"/>
        <v>427.81714285714281</v>
      </c>
      <c r="EE330" s="170">
        <f t="shared" si="356"/>
        <v>420.88228571428567</v>
      </c>
      <c r="EF330" s="42" t="s">
        <v>688</v>
      </c>
      <c r="EG330" s="30" t="s">
        <v>693</v>
      </c>
    </row>
    <row r="331" spans="17:137" s="30" customFormat="1" ht="28.15" thickBot="1">
      <c r="Q331" s="120" t="s">
        <v>719</v>
      </c>
      <c r="S331" s="143">
        <v>1.37</v>
      </c>
      <c r="T331" s="143">
        <v>30</v>
      </c>
      <c r="U331" s="146">
        <f t="shared" si="359"/>
        <v>0</v>
      </c>
      <c r="V331" s="146">
        <f t="shared" si="359"/>
        <v>0</v>
      </c>
      <c r="W331" s="146">
        <f t="shared" si="359"/>
        <v>0.11786892857142858</v>
      </c>
      <c r="X331" s="145">
        <f t="shared" si="359"/>
        <v>0.47147571428571433</v>
      </c>
      <c r="Y331" s="146">
        <f t="shared" si="359"/>
        <v>0.11786892857142858</v>
      </c>
      <c r="Z331" s="146">
        <f t="shared" si="359"/>
        <v>0</v>
      </c>
      <c r="AA331" s="146">
        <f t="shared" si="359"/>
        <v>0.23573785714285717</v>
      </c>
      <c r="AB331" s="149">
        <f t="shared" si="359"/>
        <v>1.6501650000000003</v>
      </c>
      <c r="AC331" s="146">
        <f t="shared" si="359"/>
        <v>1.6501650000000003</v>
      </c>
      <c r="AD331" s="146">
        <f t="shared" si="359"/>
        <v>0</v>
      </c>
      <c r="AE331" s="146">
        <f t="shared" si="359"/>
        <v>0</v>
      </c>
      <c r="AF331" s="146">
        <f t="shared" si="359"/>
        <v>0.14144271428571431</v>
      </c>
      <c r="AG331" s="146">
        <f t="shared" si="359"/>
        <v>0</v>
      </c>
      <c r="AH331" s="146">
        <f t="shared" si="359"/>
        <v>2.3573785714285718</v>
      </c>
      <c r="AI331" s="146">
        <v>0</v>
      </c>
      <c r="AJ331" s="153">
        <f t="shared" si="357"/>
        <v>0.23573785714285717</v>
      </c>
      <c r="AK331" s="146">
        <f t="shared" si="357"/>
        <v>0.23573785714285717</v>
      </c>
      <c r="AL331" s="156">
        <f t="shared" si="340"/>
        <v>0.42432814285714299</v>
      </c>
      <c r="AM331" s="29">
        <v>0.11</v>
      </c>
      <c r="AN331" s="31">
        <v>0</v>
      </c>
      <c r="AP331" s="31">
        <v>0</v>
      </c>
      <c r="AQ331" s="158">
        <v>0.3</v>
      </c>
      <c r="AR331" s="157">
        <v>0.35</v>
      </c>
      <c r="AS331" s="159">
        <v>0.35</v>
      </c>
      <c r="AT331" s="159">
        <v>0.13</v>
      </c>
      <c r="AU331" s="161">
        <f>(AS331*365)*(AT331*0.67*0.01*1)</f>
        <v>0.11127025</v>
      </c>
      <c r="AV331" s="161">
        <f>(AS331*365)*(AT331*0.67*0.001*1)</f>
        <v>1.1127025E-2</v>
      </c>
      <c r="AW331" s="163"/>
      <c r="AX331" s="161">
        <f>(AS331*365)*(AT331*0.67*0.02*1)</f>
        <v>0.2225405</v>
      </c>
      <c r="AY331" s="161">
        <f>(AS331*365)*(AT331*0.67*0.01*1)</f>
        <v>0.11127025</v>
      </c>
      <c r="AZ331" s="162">
        <f>(AR331*365)*(AS331*0.67*0.25*1)</f>
        <v>7.4893437499999989</v>
      </c>
      <c r="BA331" s="161">
        <f>(AS331*365)*(AT331*0.67*0.25*1)</f>
        <v>2.7817562499999999</v>
      </c>
      <c r="BB331" s="161">
        <f>(AS331*365)*(AT331*0.67*0.73*1)</f>
        <v>8.1227282499999998</v>
      </c>
      <c r="BC331" s="161">
        <f>(AS331*365)*(AT331*0.67*0.03*1)</f>
        <v>0.33381074999999999</v>
      </c>
      <c r="BD331" s="163"/>
      <c r="BE331" s="161">
        <f>(AS331*365)*(AT331*0.67*0.25*1)</f>
        <v>2.7817562499999999</v>
      </c>
      <c r="BF331" s="161">
        <f t="shared" si="341"/>
        <v>11.127025</v>
      </c>
      <c r="BG331" s="162">
        <f t="shared" si="342"/>
        <v>2.9957374999999993</v>
      </c>
      <c r="BH331" s="161">
        <f t="shared" si="342"/>
        <v>1.1127024999999999</v>
      </c>
      <c r="BI331" s="161">
        <f t="shared" si="343"/>
        <v>5.5635125000000001E-2</v>
      </c>
      <c r="BJ331" s="161">
        <f>(AS331*365)*(AT331*0.67*0.005*1)</f>
        <v>5.5635125000000001E-2</v>
      </c>
      <c r="BK331" s="161">
        <v>0</v>
      </c>
      <c r="BL331" s="161">
        <v>0</v>
      </c>
      <c r="BM331" s="161">
        <f>(BA331*365)*(BB331*0.67*0.25*1)</f>
        <v>1381.4293290513501</v>
      </c>
      <c r="BN331" s="161">
        <f t="shared" si="344"/>
        <v>5525.7173162054005</v>
      </c>
      <c r="BO331" s="162">
        <f t="shared" si="345"/>
        <v>509.48394643621975</v>
      </c>
      <c r="BP331" s="161">
        <f t="shared" si="345"/>
        <v>552.57173162054005</v>
      </c>
      <c r="BQ331" s="161">
        <f>(BA331*365)*(BB331*0.67*0.005*1)</f>
        <v>27.628586581027005</v>
      </c>
      <c r="BR331" s="161">
        <v>0</v>
      </c>
      <c r="BS331" s="161">
        <v>0</v>
      </c>
      <c r="BT331" s="160">
        <f t="shared" si="346"/>
        <v>2.3320211578125001</v>
      </c>
      <c r="BU331" s="161"/>
      <c r="BV331" s="162"/>
      <c r="BW331" s="161"/>
      <c r="BX331" s="161"/>
      <c r="BY331" s="161"/>
      <c r="BZ331" s="161"/>
      <c r="CA331" s="160"/>
      <c r="CC331" s="110"/>
      <c r="CD331" s="111" t="str">
        <f t="shared" si="347"/>
        <v>Cabras - Clima Frío</v>
      </c>
      <c r="CE331" s="92" t="s">
        <v>688</v>
      </c>
      <c r="CF331" s="165">
        <f t="shared" si="349"/>
        <v>2.3320211578125001</v>
      </c>
      <c r="CG331" s="92" t="s">
        <v>636</v>
      </c>
      <c r="CH331" s="98">
        <v>0.2</v>
      </c>
      <c r="CI331" s="98">
        <v>0.5</v>
      </c>
      <c r="CJ331" s="97" t="s">
        <v>442</v>
      </c>
      <c r="CK331" s="165">
        <f t="shared" si="348"/>
        <v>0.42432814285714299</v>
      </c>
      <c r="CL331" s="92" t="s">
        <v>689</v>
      </c>
      <c r="CM331" s="98">
        <v>0.2</v>
      </c>
      <c r="CN331" s="98">
        <v>0.5</v>
      </c>
      <c r="CO331" s="97" t="s">
        <v>442</v>
      </c>
      <c r="CP331" s="41"/>
      <c r="CQ331" s="96">
        <v>2.75</v>
      </c>
      <c r="CR331" s="92" t="s">
        <v>632</v>
      </c>
      <c r="CS331" s="41"/>
      <c r="CT331" s="96">
        <v>370.88228571428601</v>
      </c>
      <c r="CU331" s="92" t="s">
        <v>632</v>
      </c>
      <c r="CV331" s="39"/>
      <c r="CW331" s="41"/>
      <c r="CX331" s="39"/>
      <c r="CY331" s="39"/>
      <c r="CZ331" s="41"/>
      <c r="DA331" s="41"/>
      <c r="DB331" s="41"/>
      <c r="DC331" s="41"/>
      <c r="DD331" s="39"/>
      <c r="DE331" s="39"/>
      <c r="DF331" s="41"/>
      <c r="DG331" s="41"/>
      <c r="DH331" s="41"/>
      <c r="DI331" s="42"/>
      <c r="DJ331" s="43">
        <v>0.2</v>
      </c>
      <c r="DK331" s="43">
        <v>0.25</v>
      </c>
      <c r="DS331" s="30" t="s">
        <v>719</v>
      </c>
      <c r="DT331" s="30">
        <v>0.11</v>
      </c>
      <c r="DU331" s="71">
        <f t="shared" si="350"/>
        <v>2.31</v>
      </c>
      <c r="DV331" s="71">
        <f t="shared" si="351"/>
        <v>2.75</v>
      </c>
      <c r="DW331" s="30">
        <v>40</v>
      </c>
      <c r="DX331" s="30">
        <v>0.99</v>
      </c>
      <c r="DY331" s="71">
        <f t="shared" si="352"/>
        <v>39.6</v>
      </c>
      <c r="DZ331" s="30">
        <v>0.02</v>
      </c>
      <c r="EA331" s="169">
        <f t="shared" si="353"/>
        <v>1.2445714285714284</v>
      </c>
      <c r="EB331" s="169">
        <f t="shared" si="354"/>
        <v>385.81714285714281</v>
      </c>
      <c r="EC331" s="169">
        <f t="shared" si="355"/>
        <v>370.88228571428567</v>
      </c>
      <c r="ED331" s="170">
        <f t="shared" si="356"/>
        <v>388.12714285714281</v>
      </c>
      <c r="EE331" s="170">
        <f t="shared" si="356"/>
        <v>373.63228571428567</v>
      </c>
      <c r="EF331" s="42" t="s">
        <v>688</v>
      </c>
      <c r="EG331" s="30" t="s">
        <v>693</v>
      </c>
    </row>
    <row r="332" spans="17:137" s="30" customFormat="1" ht="28.15" thickBot="1">
      <c r="Q332" s="120" t="s">
        <v>720</v>
      </c>
      <c r="S332" s="143">
        <v>1.37</v>
      </c>
      <c r="T332" s="143">
        <v>30</v>
      </c>
      <c r="U332" s="146">
        <f t="shared" si="359"/>
        <v>0</v>
      </c>
      <c r="V332" s="146">
        <f t="shared" si="359"/>
        <v>0</v>
      </c>
      <c r="W332" s="146">
        <f t="shared" si="359"/>
        <v>0.11786892857142858</v>
      </c>
      <c r="X332" s="145">
        <f t="shared" si="359"/>
        <v>0.47147571428571433</v>
      </c>
      <c r="Y332" s="146">
        <f t="shared" si="359"/>
        <v>0.11786892857142858</v>
      </c>
      <c r="Z332" s="146">
        <f t="shared" si="359"/>
        <v>0</v>
      </c>
      <c r="AA332" s="146">
        <f t="shared" si="359"/>
        <v>0.23573785714285717</v>
      </c>
      <c r="AB332" s="149">
        <f t="shared" si="359"/>
        <v>1.6501650000000003</v>
      </c>
      <c r="AC332" s="146">
        <f t="shared" si="359"/>
        <v>1.6501650000000003</v>
      </c>
      <c r="AD332" s="146">
        <f t="shared" si="359"/>
        <v>0</v>
      </c>
      <c r="AE332" s="146">
        <f t="shared" si="359"/>
        <v>0</v>
      </c>
      <c r="AF332" s="146">
        <f t="shared" si="359"/>
        <v>0.14144271428571431</v>
      </c>
      <c r="AG332" s="146">
        <f t="shared" si="359"/>
        <v>0</v>
      </c>
      <c r="AH332" s="146">
        <f t="shared" si="359"/>
        <v>2.3573785714285718</v>
      </c>
      <c r="AI332" s="146">
        <v>0</v>
      </c>
      <c r="AJ332" s="153">
        <f t="shared" si="357"/>
        <v>0.23573785714285717</v>
      </c>
      <c r="AK332" s="146">
        <f t="shared" si="357"/>
        <v>0.23573785714285717</v>
      </c>
      <c r="AL332" s="156">
        <f t="shared" si="340"/>
        <v>0.42432814285714299</v>
      </c>
      <c r="AM332" s="29">
        <v>0.17</v>
      </c>
      <c r="AN332" s="31">
        <v>0</v>
      </c>
      <c r="AP332" s="31">
        <v>0</v>
      </c>
      <c r="AQ332" s="158">
        <v>0.3</v>
      </c>
      <c r="AR332" s="157">
        <v>0.35</v>
      </c>
      <c r="AS332" s="159">
        <v>0.35</v>
      </c>
      <c r="AT332" s="159">
        <v>0.13</v>
      </c>
      <c r="AU332" s="161">
        <f>(AS332*365)*(AT332*0.67*0.015*1)</f>
        <v>0.16690537499999999</v>
      </c>
      <c r="AV332" s="161">
        <f>(AS332*365)*(AT332*0.67*0.005*1)</f>
        <v>5.5635125000000001E-2</v>
      </c>
      <c r="AW332" s="163"/>
      <c r="AX332" s="161">
        <f>(AS332*365)*(AT332*0.67*0.04*1)</f>
        <v>0.445081</v>
      </c>
      <c r="AY332" s="161">
        <f>(AS332*365)*(AT332*0.67*0.015*1)</f>
        <v>0.16690537499999999</v>
      </c>
      <c r="AZ332" s="162">
        <f>(AR332*365)*(AS332*0.67*0.65*1)</f>
        <v>19.472293749999999</v>
      </c>
      <c r="BA332" s="161">
        <f>(AS332*365)*(AT332*0.67*0.65*1)</f>
        <v>7.2325662499999996</v>
      </c>
      <c r="BB332" s="161">
        <f>(AS332*365)*(AT332*0.67*0.79*1)</f>
        <v>8.7903497500000007</v>
      </c>
      <c r="BC332" s="161">
        <f>(AS332*365)*(AT332*0.67*0.03*1)</f>
        <v>0.33381074999999999</v>
      </c>
      <c r="BD332" s="163"/>
      <c r="BE332" s="161">
        <f>(AS332*365)*(AT332*0.67*0.65*1)</f>
        <v>7.2325662499999996</v>
      </c>
      <c r="BF332" s="161">
        <f t="shared" si="341"/>
        <v>11.127025</v>
      </c>
      <c r="BG332" s="162">
        <f t="shared" si="342"/>
        <v>2.9957374999999993</v>
      </c>
      <c r="BH332" s="161">
        <f t="shared" si="342"/>
        <v>1.1127024999999999</v>
      </c>
      <c r="BI332" s="161">
        <f t="shared" si="343"/>
        <v>5.5635125000000001E-2</v>
      </c>
      <c r="BJ332" s="161">
        <f>(AS332*365)*(AT332*0.67*0.01*1)</f>
        <v>0.11127025</v>
      </c>
      <c r="BK332" s="161">
        <v>0</v>
      </c>
      <c r="BL332" s="161">
        <v>0</v>
      </c>
      <c r="BM332" s="161">
        <f>(BA332*365)*(BB332*0.67*0.65*1)</f>
        <v>10106.007108035385</v>
      </c>
      <c r="BN332" s="161">
        <f t="shared" si="344"/>
        <v>15547.703243131362</v>
      </c>
      <c r="BO332" s="162">
        <f t="shared" si="345"/>
        <v>3444.1114779088448</v>
      </c>
      <c r="BP332" s="161">
        <f t="shared" si="345"/>
        <v>1554.7703243131364</v>
      </c>
      <c r="BQ332" s="161">
        <f>(BA332*365)*(BB332*0.67*0.01*1)</f>
        <v>155.47703243131363</v>
      </c>
      <c r="BR332" s="161">
        <v>0</v>
      </c>
      <c r="BS332" s="161">
        <v>0</v>
      </c>
      <c r="BT332" s="160">
        <f t="shared" si="346"/>
        <v>3.7061552499999988</v>
      </c>
      <c r="BU332" s="161"/>
      <c r="BV332" s="162"/>
      <c r="BW332" s="161"/>
      <c r="BX332" s="161"/>
      <c r="BY332" s="161"/>
      <c r="BZ332" s="161"/>
      <c r="CA332" s="160"/>
      <c r="CC332" s="110"/>
      <c r="CD332" s="111" t="str">
        <f t="shared" si="347"/>
        <v>Cabras - Clima Templado</v>
      </c>
      <c r="CE332" s="92" t="s">
        <v>688</v>
      </c>
      <c r="CF332" s="165">
        <f t="shared" si="349"/>
        <v>3.7061552499999988</v>
      </c>
      <c r="CG332" s="92" t="s">
        <v>636</v>
      </c>
      <c r="CH332" s="98">
        <v>0.2</v>
      </c>
      <c r="CI332" s="98">
        <v>0.5</v>
      </c>
      <c r="CJ332" s="97" t="s">
        <v>442</v>
      </c>
      <c r="CK332" s="165">
        <f t="shared" si="348"/>
        <v>0.42432814285714299</v>
      </c>
      <c r="CL332" s="92" t="s">
        <v>689</v>
      </c>
      <c r="CM332" s="98">
        <v>0.2</v>
      </c>
      <c r="CN332" s="98">
        <v>0.5</v>
      </c>
      <c r="CO332" s="97" t="s">
        <v>442</v>
      </c>
      <c r="CP332" s="41"/>
      <c r="CQ332" s="96">
        <v>4.25</v>
      </c>
      <c r="CR332" s="92" t="s">
        <v>632</v>
      </c>
      <c r="CS332" s="41"/>
      <c r="CT332" s="96">
        <v>370.88228571428601</v>
      </c>
      <c r="CU332" s="92" t="s">
        <v>632</v>
      </c>
      <c r="CV332" s="39"/>
      <c r="CW332" s="41"/>
      <c r="CX332" s="39"/>
      <c r="CY332" s="39"/>
      <c r="CZ332" s="41"/>
      <c r="DA332" s="41"/>
      <c r="DB332" s="41"/>
      <c r="DC332" s="41"/>
      <c r="DD332" s="39"/>
      <c r="DE332" s="39"/>
      <c r="DF332" s="41"/>
      <c r="DG332" s="41"/>
      <c r="DH332" s="41"/>
      <c r="DI332" s="42"/>
      <c r="DJ332" s="43">
        <v>0.2</v>
      </c>
      <c r="DK332" s="43">
        <v>0.25</v>
      </c>
      <c r="DS332" s="30" t="s">
        <v>720</v>
      </c>
      <c r="DT332" s="30">
        <v>0.17</v>
      </c>
      <c r="DU332" s="71">
        <f t="shared" si="350"/>
        <v>3.5700000000000003</v>
      </c>
      <c r="DV332" s="71">
        <f t="shared" si="351"/>
        <v>4.25</v>
      </c>
      <c r="DW332" s="30">
        <v>40</v>
      </c>
      <c r="DX332" s="30">
        <v>0.99</v>
      </c>
      <c r="DY332" s="71">
        <f t="shared" si="352"/>
        <v>39.6</v>
      </c>
      <c r="DZ332" s="30">
        <v>0.02</v>
      </c>
      <c r="EA332" s="169">
        <f t="shared" si="353"/>
        <v>1.2445714285714284</v>
      </c>
      <c r="EB332" s="169">
        <f t="shared" si="354"/>
        <v>385.81714285714281</v>
      </c>
      <c r="EC332" s="169">
        <f t="shared" si="355"/>
        <v>370.88228571428567</v>
      </c>
      <c r="ED332" s="170">
        <f t="shared" si="356"/>
        <v>389.38714285714281</v>
      </c>
      <c r="EE332" s="170">
        <f t="shared" si="356"/>
        <v>375.13228571428567</v>
      </c>
      <c r="EF332" s="42" t="s">
        <v>688</v>
      </c>
      <c r="EG332" s="30" t="s">
        <v>693</v>
      </c>
    </row>
    <row r="333" spans="17:137" s="30" customFormat="1" ht="22.5" customHeight="1" thickBot="1">
      <c r="Q333" s="120" t="s">
        <v>721</v>
      </c>
      <c r="S333" s="143">
        <v>1.37</v>
      </c>
      <c r="T333" s="143">
        <v>30</v>
      </c>
      <c r="U333" s="146">
        <f t="shared" si="359"/>
        <v>0</v>
      </c>
      <c r="V333" s="146">
        <f t="shared" si="359"/>
        <v>0</v>
      </c>
      <c r="W333" s="146">
        <f t="shared" si="359"/>
        <v>0.11786892857142858</v>
      </c>
      <c r="X333" s="145">
        <f t="shared" si="359"/>
        <v>0.47147571428571433</v>
      </c>
      <c r="Y333" s="146">
        <f t="shared" si="359"/>
        <v>0.11786892857142858</v>
      </c>
      <c r="Z333" s="146">
        <f t="shared" si="359"/>
        <v>0</v>
      </c>
      <c r="AA333" s="146">
        <f t="shared" si="359"/>
        <v>0.23573785714285717</v>
      </c>
      <c r="AB333" s="149">
        <f t="shared" si="359"/>
        <v>1.6501650000000003</v>
      </c>
      <c r="AC333" s="146">
        <f t="shared" si="359"/>
        <v>1.6501650000000003</v>
      </c>
      <c r="AD333" s="146">
        <f t="shared" si="359"/>
        <v>0</v>
      </c>
      <c r="AE333" s="146">
        <f t="shared" si="359"/>
        <v>0</v>
      </c>
      <c r="AF333" s="146">
        <f t="shared" si="359"/>
        <v>0.14144271428571431</v>
      </c>
      <c r="AG333" s="146">
        <f t="shared" si="359"/>
        <v>0</v>
      </c>
      <c r="AH333" s="146">
        <f t="shared" si="359"/>
        <v>2.3573785714285718</v>
      </c>
      <c r="AI333" s="146">
        <v>0</v>
      </c>
      <c r="AJ333" s="153">
        <f t="shared" si="357"/>
        <v>0.23573785714285717</v>
      </c>
      <c r="AK333" s="146">
        <f t="shared" si="357"/>
        <v>0.23573785714285717</v>
      </c>
      <c r="AL333" s="156">
        <f t="shared" si="340"/>
        <v>0.42432814285714299</v>
      </c>
      <c r="AM333" s="29">
        <v>0.22</v>
      </c>
      <c r="AN333" s="31">
        <v>0</v>
      </c>
      <c r="AP333" s="31">
        <v>0</v>
      </c>
      <c r="AQ333" s="158">
        <v>0.3</v>
      </c>
      <c r="AR333" s="157">
        <v>0.35</v>
      </c>
      <c r="AS333" s="159">
        <v>0.35</v>
      </c>
      <c r="AT333" s="159">
        <v>0.13</v>
      </c>
      <c r="AU333" s="161">
        <f>(AS333*365)*(AT333*0.67*0.02*1)</f>
        <v>0.2225405</v>
      </c>
      <c r="AV333" s="161">
        <f>(AS333*365)*(AT333*0.67*0.01*1)</f>
        <v>0.11127025</v>
      </c>
      <c r="AW333" s="163"/>
      <c r="AX333" s="161">
        <f>(AS333*365)*(AT333*0.67*0.05*1)</f>
        <v>0.55635124999999996</v>
      </c>
      <c r="AY333" s="161">
        <f>(AS333*365)*(AT333*0.67*0.02*1)</f>
        <v>0.2225405</v>
      </c>
      <c r="AZ333" s="162">
        <f>(AR333*365)*(AS333*0.67*0.8*1)</f>
        <v>23.965899999999994</v>
      </c>
      <c r="BA333" s="161">
        <f>(AS333*365)*(AT333*0.67*0.8*1)</f>
        <v>8.9016199999999994</v>
      </c>
      <c r="BB333" s="161">
        <f>(AS333*365)*(AT333*0.67*0.8*1)</f>
        <v>8.9016199999999994</v>
      </c>
      <c r="BC333" s="161">
        <f>(AS333*365)*(AT333*0.67*0.3*1)</f>
        <v>3.3381075</v>
      </c>
      <c r="BD333" s="163"/>
      <c r="BE333" s="161">
        <f>(AS333*365)*(AT333*0.67*0.8*1)</f>
        <v>8.9016199999999994</v>
      </c>
      <c r="BF333" s="161">
        <f t="shared" si="341"/>
        <v>11.127025</v>
      </c>
      <c r="BG333" s="162">
        <f t="shared" si="342"/>
        <v>2.9957374999999993</v>
      </c>
      <c r="BH333" s="161">
        <f t="shared" si="342"/>
        <v>1.1127024999999999</v>
      </c>
      <c r="BI333" s="161">
        <f t="shared" si="343"/>
        <v>5.5635125000000001E-2</v>
      </c>
      <c r="BJ333" s="161">
        <f>(AS333*365)*(AT333*0.67*0.015*1)</f>
        <v>0.16690537499999999</v>
      </c>
      <c r="BK333" s="161">
        <v>0</v>
      </c>
      <c r="BL333" s="161">
        <v>0</v>
      </c>
      <c r="BM333" s="161">
        <f>(BA333*365)*(BB333*0.67*0.8*1)</f>
        <v>15502.286388477614</v>
      </c>
      <c r="BN333" s="161">
        <f t="shared" si="344"/>
        <v>19377.857985597017</v>
      </c>
      <c r="BO333" s="162">
        <f t="shared" si="345"/>
        <v>5217.1156115068889</v>
      </c>
      <c r="BP333" s="161">
        <f t="shared" si="345"/>
        <v>1937.7857985597018</v>
      </c>
      <c r="BQ333" s="161">
        <f>(BA333*365)*(BB333*0.67*0.015*1)</f>
        <v>290.66786978395527</v>
      </c>
      <c r="BR333" s="161">
        <v>0</v>
      </c>
      <c r="BS333" s="161">
        <v>0</v>
      </c>
      <c r="BT333" s="160">
        <f t="shared" si="346"/>
        <v>4.4112234687499994</v>
      </c>
      <c r="BU333" s="161"/>
      <c r="BV333" s="162"/>
      <c r="BW333" s="161"/>
      <c r="BX333" s="161"/>
      <c r="BY333" s="161"/>
      <c r="BZ333" s="161"/>
      <c r="CA333" s="160"/>
      <c r="CC333" s="110"/>
      <c r="CD333" s="111" t="str">
        <f t="shared" si="347"/>
        <v>Cabras - Clima Cálido</v>
      </c>
      <c r="CE333" s="92" t="s">
        <v>688</v>
      </c>
      <c r="CF333" s="165">
        <f t="shared" si="349"/>
        <v>4.4112234687499994</v>
      </c>
      <c r="CG333" s="92" t="s">
        <v>636</v>
      </c>
      <c r="CH333" s="98">
        <v>0.2</v>
      </c>
      <c r="CI333" s="98">
        <v>0.5</v>
      </c>
      <c r="CJ333" s="97" t="s">
        <v>442</v>
      </c>
      <c r="CK333" s="165">
        <f t="shared" si="348"/>
        <v>0.42432814285714299</v>
      </c>
      <c r="CL333" s="92" t="s">
        <v>689</v>
      </c>
      <c r="CM333" s="98">
        <v>0.2</v>
      </c>
      <c r="CN333" s="98">
        <v>0.5</v>
      </c>
      <c r="CO333" s="97" t="s">
        <v>442</v>
      </c>
      <c r="CP333" s="167"/>
      <c r="CQ333" s="96">
        <v>5.5</v>
      </c>
      <c r="CR333" s="92" t="s">
        <v>632</v>
      </c>
      <c r="CS333" s="167"/>
      <c r="CT333" s="96">
        <v>370.88228571428601</v>
      </c>
      <c r="CU333" s="92" t="s">
        <v>632</v>
      </c>
      <c r="CV333" s="41"/>
      <c r="CW333" s="41"/>
      <c r="CX333" s="39"/>
      <c r="CY333" s="39"/>
      <c r="CZ333" s="41"/>
      <c r="DA333" s="41"/>
      <c r="DB333" s="41"/>
      <c r="DC333" s="41"/>
      <c r="DD333" s="39"/>
      <c r="DE333" s="39"/>
      <c r="DF333" s="41"/>
      <c r="DG333" s="41"/>
      <c r="DH333" s="41"/>
      <c r="DI333" s="42"/>
      <c r="DJ333" s="43">
        <v>0.2</v>
      </c>
      <c r="DK333" s="43">
        <v>0.25</v>
      </c>
      <c r="DS333" s="30" t="s">
        <v>721</v>
      </c>
      <c r="DT333" s="30">
        <v>0.22</v>
      </c>
      <c r="DU333" s="71">
        <f t="shared" si="350"/>
        <v>4.62</v>
      </c>
      <c r="DV333" s="71">
        <f t="shared" si="351"/>
        <v>5.5</v>
      </c>
      <c r="DW333" s="30">
        <v>40</v>
      </c>
      <c r="DX333" s="30">
        <v>0.99</v>
      </c>
      <c r="DY333" s="71">
        <f t="shared" si="352"/>
        <v>39.6</v>
      </c>
      <c r="DZ333" s="30">
        <v>0.02</v>
      </c>
      <c r="EA333" s="169">
        <f t="shared" si="353"/>
        <v>1.2445714285714284</v>
      </c>
      <c r="EB333" s="169">
        <f t="shared" si="354"/>
        <v>385.81714285714281</v>
      </c>
      <c r="EC333" s="169">
        <f t="shared" si="355"/>
        <v>370.88228571428567</v>
      </c>
      <c r="ED333" s="170">
        <f t="shared" si="356"/>
        <v>390.43714285714282</v>
      </c>
      <c r="EE333" s="170">
        <f t="shared" si="356"/>
        <v>376.38228571428567</v>
      </c>
      <c r="EF333" s="42" t="s">
        <v>688</v>
      </c>
      <c r="EG333" s="30" t="s">
        <v>693</v>
      </c>
    </row>
    <row r="334" spans="17:137" s="30" customFormat="1" ht="22.5" customHeight="1" thickBot="1">
      <c r="Q334" s="120" t="str">
        <f>Q343</f>
        <v>Conejos - Clima Frío</v>
      </c>
      <c r="R334" s="120">
        <f t="shared" ref="R334:BS336" si="360">R343</f>
        <v>0</v>
      </c>
      <c r="S334" s="120">
        <f t="shared" si="360"/>
        <v>1.37</v>
      </c>
      <c r="T334" s="120">
        <f t="shared" si="360"/>
        <v>30</v>
      </c>
      <c r="U334" s="120">
        <f t="shared" si="360"/>
        <v>0</v>
      </c>
      <c r="V334" s="120">
        <f t="shared" si="360"/>
        <v>0</v>
      </c>
      <c r="W334" s="120">
        <f t="shared" si="360"/>
        <v>0.11786892857142858</v>
      </c>
      <c r="X334" s="147">
        <f t="shared" si="360"/>
        <v>0.47147571428571433</v>
      </c>
      <c r="Y334" s="120">
        <f t="shared" si="360"/>
        <v>0.11786892857142858</v>
      </c>
      <c r="Z334" s="120">
        <f t="shared" si="360"/>
        <v>0</v>
      </c>
      <c r="AA334" s="120">
        <f t="shared" si="360"/>
        <v>0.23573785714285717</v>
      </c>
      <c r="AB334" s="150">
        <f t="shared" si="360"/>
        <v>1.6501650000000003</v>
      </c>
      <c r="AC334" s="120">
        <f t="shared" si="360"/>
        <v>1.6501650000000003</v>
      </c>
      <c r="AD334" s="120">
        <f t="shared" si="360"/>
        <v>0</v>
      </c>
      <c r="AE334" s="120">
        <f t="shared" si="360"/>
        <v>0</v>
      </c>
      <c r="AF334" s="120">
        <f t="shared" si="360"/>
        <v>0.14144271428571431</v>
      </c>
      <c r="AG334" s="120">
        <f t="shared" si="360"/>
        <v>0</v>
      </c>
      <c r="AH334" s="120">
        <f t="shared" si="360"/>
        <v>2.3573785714285718</v>
      </c>
      <c r="AI334" s="120">
        <f t="shared" si="360"/>
        <v>0</v>
      </c>
      <c r="AJ334" s="154">
        <f t="shared" si="360"/>
        <v>0.23573785714285717</v>
      </c>
      <c r="AK334" s="120">
        <f t="shared" si="360"/>
        <v>0.23573785714285717</v>
      </c>
      <c r="AL334" s="156">
        <f t="shared" si="340"/>
        <v>0.42432814285714299</v>
      </c>
      <c r="AM334" s="120">
        <f t="shared" si="360"/>
        <v>0.08</v>
      </c>
      <c r="AN334" s="120">
        <f t="shared" si="360"/>
        <v>0</v>
      </c>
      <c r="AO334" s="120">
        <f t="shared" si="360"/>
        <v>0</v>
      </c>
      <c r="AP334" s="120">
        <f t="shared" si="360"/>
        <v>0</v>
      </c>
      <c r="AQ334" s="120">
        <f t="shared" si="360"/>
        <v>0</v>
      </c>
      <c r="AR334" s="154">
        <f t="shared" si="360"/>
        <v>0.1</v>
      </c>
      <c r="AS334" s="120">
        <f t="shared" si="360"/>
        <v>0.1</v>
      </c>
      <c r="AT334" s="120">
        <f t="shared" si="360"/>
        <v>0.32</v>
      </c>
      <c r="AU334" s="120">
        <f t="shared" si="360"/>
        <v>7.8256000000000006E-2</v>
      </c>
      <c r="AV334" s="120">
        <f t="shared" si="360"/>
        <v>7.8256000000000003E-3</v>
      </c>
      <c r="AW334" s="120">
        <f t="shared" si="360"/>
        <v>0</v>
      </c>
      <c r="AX334" s="120">
        <f t="shared" si="360"/>
        <v>0.15651200000000001</v>
      </c>
      <c r="AY334" s="120">
        <f t="shared" si="360"/>
        <v>7.8256000000000006E-2</v>
      </c>
      <c r="AZ334" s="154">
        <f t="shared" si="360"/>
        <v>0.611375</v>
      </c>
      <c r="BA334" s="120">
        <f t="shared" si="360"/>
        <v>1.9564000000000001</v>
      </c>
      <c r="BB334" s="120">
        <f t="shared" si="360"/>
        <v>5.7126880000000009</v>
      </c>
      <c r="BC334" s="120">
        <f t="shared" si="360"/>
        <v>0.234768</v>
      </c>
      <c r="BD334" s="120">
        <f t="shared" si="360"/>
        <v>0</v>
      </c>
      <c r="BE334" s="120">
        <f t="shared" si="360"/>
        <v>1.9564000000000001</v>
      </c>
      <c r="BF334" s="120">
        <f t="shared" si="360"/>
        <v>7.8256000000000006</v>
      </c>
      <c r="BG334" s="154">
        <f t="shared" si="360"/>
        <v>0.24455000000000005</v>
      </c>
      <c r="BH334" s="120">
        <f t="shared" si="360"/>
        <v>0.78256000000000003</v>
      </c>
      <c r="BI334" s="120">
        <f t="shared" si="360"/>
        <v>3.9128000000000003E-2</v>
      </c>
      <c r="BJ334" s="120">
        <f t="shared" si="360"/>
        <v>3.9128000000000003E-2</v>
      </c>
      <c r="BK334" s="120">
        <f t="shared" si="360"/>
        <v>0</v>
      </c>
      <c r="BL334" s="120">
        <f t="shared" si="360"/>
        <v>0</v>
      </c>
      <c r="BM334" s="120">
        <f t="shared" si="360"/>
        <v>683.29121263064019</v>
      </c>
      <c r="BN334" s="120">
        <f t="shared" si="360"/>
        <v>2733.1648505225608</v>
      </c>
      <c r="BO334" s="154">
        <f t="shared" si="360"/>
        <v>29.250479992750005</v>
      </c>
      <c r="BP334" s="120">
        <f t="shared" si="360"/>
        <v>273.3164850522561</v>
      </c>
      <c r="BQ334" s="120">
        <f t="shared" si="360"/>
        <v>13.665824252612806</v>
      </c>
      <c r="BR334" s="120">
        <f t="shared" si="360"/>
        <v>0</v>
      </c>
      <c r="BS334" s="120">
        <f t="shared" si="360"/>
        <v>0</v>
      </c>
      <c r="BT334" s="160">
        <f t="shared" si="346"/>
        <v>1.0957470333333337</v>
      </c>
      <c r="BU334" s="120"/>
      <c r="BV334" s="154"/>
      <c r="BW334" s="120"/>
      <c r="BX334" s="120"/>
      <c r="BY334" s="120"/>
      <c r="BZ334" s="120"/>
      <c r="CA334" s="160"/>
      <c r="CC334" s="110"/>
      <c r="CD334" s="111" t="str">
        <f t="shared" si="347"/>
        <v>Conejos - Clima Frío</v>
      </c>
      <c r="CE334" s="92" t="s">
        <v>688</v>
      </c>
      <c r="CF334" s="165">
        <f t="shared" si="349"/>
        <v>1.0957470333333337</v>
      </c>
      <c r="CG334" s="92" t="s">
        <v>636</v>
      </c>
      <c r="CH334" s="98">
        <v>0.2</v>
      </c>
      <c r="CI334" s="98">
        <v>0.5</v>
      </c>
      <c r="CJ334" s="97" t="s">
        <v>442</v>
      </c>
      <c r="CK334" s="165">
        <f t="shared" si="348"/>
        <v>0.42432814285714299</v>
      </c>
      <c r="CL334" s="92" t="s">
        <v>689</v>
      </c>
      <c r="CM334" s="98">
        <v>0.2</v>
      </c>
      <c r="CN334" s="98">
        <v>0.5</v>
      </c>
      <c r="CO334" s="97" t="s">
        <v>442</v>
      </c>
      <c r="CP334" s="167"/>
      <c r="CQ334" s="96"/>
      <c r="CR334" s="92"/>
      <c r="CS334" s="167"/>
      <c r="CT334" s="96"/>
      <c r="CU334" s="92"/>
      <c r="CV334" s="41"/>
      <c r="CW334" s="41"/>
      <c r="CX334" s="39"/>
      <c r="CY334" s="39"/>
      <c r="CZ334" s="41"/>
      <c r="DA334" s="41"/>
      <c r="DB334" s="41"/>
      <c r="DC334" s="41"/>
      <c r="DD334" s="39"/>
      <c r="DE334" s="39"/>
      <c r="DF334" s="41"/>
      <c r="DG334" s="41"/>
      <c r="DH334" s="41"/>
      <c r="DI334" s="42"/>
      <c r="DJ334" s="43"/>
      <c r="DK334" s="43">
        <v>0.25</v>
      </c>
      <c r="DU334" s="71"/>
      <c r="DV334" s="71"/>
      <c r="DY334" s="71"/>
      <c r="EA334" s="169"/>
      <c r="EB334" s="169"/>
      <c r="EC334" s="169"/>
      <c r="ED334" s="170"/>
      <c r="EE334" s="170"/>
      <c r="EF334" s="42"/>
      <c r="EG334" s="30" t="s">
        <v>693</v>
      </c>
    </row>
    <row r="335" spans="17:137" s="30" customFormat="1" ht="22.5" customHeight="1" thickBot="1">
      <c r="Q335" s="120" t="str">
        <f t="shared" ref="Q335:AG336" si="361">Q344</f>
        <v>Conejos - Clima Templado</v>
      </c>
      <c r="R335" s="120">
        <f t="shared" si="361"/>
        <v>0</v>
      </c>
      <c r="S335" s="120">
        <f t="shared" si="361"/>
        <v>1.37</v>
      </c>
      <c r="T335" s="120">
        <f t="shared" si="361"/>
        <v>30</v>
      </c>
      <c r="U335" s="120">
        <f t="shared" si="361"/>
        <v>0</v>
      </c>
      <c r="V335" s="120">
        <f t="shared" si="361"/>
        <v>0</v>
      </c>
      <c r="W335" s="120">
        <f t="shared" si="361"/>
        <v>0.11786892857142858</v>
      </c>
      <c r="X335" s="147">
        <f t="shared" si="361"/>
        <v>0.47147571428571433</v>
      </c>
      <c r="Y335" s="120">
        <f t="shared" si="361"/>
        <v>0.11786892857142858</v>
      </c>
      <c r="Z335" s="120">
        <f t="shared" si="361"/>
        <v>0</v>
      </c>
      <c r="AA335" s="120">
        <f t="shared" si="361"/>
        <v>0.23573785714285717</v>
      </c>
      <c r="AB335" s="150">
        <f t="shared" si="360"/>
        <v>1.6501650000000003</v>
      </c>
      <c r="AC335" s="120">
        <f t="shared" si="361"/>
        <v>1.6501650000000003</v>
      </c>
      <c r="AD335" s="120">
        <f t="shared" si="361"/>
        <v>0</v>
      </c>
      <c r="AE335" s="120">
        <f t="shared" si="361"/>
        <v>0</v>
      </c>
      <c r="AF335" s="120">
        <f t="shared" si="361"/>
        <v>0.14144271428571431</v>
      </c>
      <c r="AG335" s="120">
        <f t="shared" si="361"/>
        <v>0</v>
      </c>
      <c r="AH335" s="120">
        <f t="shared" si="360"/>
        <v>2.3573785714285718</v>
      </c>
      <c r="AI335" s="120">
        <f t="shared" si="360"/>
        <v>0</v>
      </c>
      <c r="AJ335" s="154">
        <f t="shared" si="360"/>
        <v>0.23573785714285717</v>
      </c>
      <c r="AK335" s="120">
        <f t="shared" si="360"/>
        <v>0.23573785714285717</v>
      </c>
      <c r="AL335" s="156">
        <f t="shared" si="340"/>
        <v>0.42432814285714299</v>
      </c>
      <c r="AM335" s="120">
        <f t="shared" si="360"/>
        <v>0</v>
      </c>
      <c r="AN335" s="120">
        <f t="shared" si="360"/>
        <v>0</v>
      </c>
      <c r="AO335" s="120">
        <f t="shared" si="360"/>
        <v>0</v>
      </c>
      <c r="AP335" s="120">
        <f t="shared" si="360"/>
        <v>0</v>
      </c>
      <c r="AQ335" s="120">
        <f t="shared" si="360"/>
        <v>0</v>
      </c>
      <c r="AR335" s="154">
        <f t="shared" si="360"/>
        <v>0.1</v>
      </c>
      <c r="AS335" s="120">
        <f t="shared" si="360"/>
        <v>0.1</v>
      </c>
      <c r="AT335" s="120">
        <f t="shared" si="360"/>
        <v>0.32</v>
      </c>
      <c r="AU335" s="120">
        <f t="shared" si="360"/>
        <v>0.117384</v>
      </c>
      <c r="AV335" s="120">
        <f t="shared" si="360"/>
        <v>3.9128000000000003E-2</v>
      </c>
      <c r="AW335" s="120">
        <f t="shared" si="360"/>
        <v>0</v>
      </c>
      <c r="AX335" s="120">
        <f t="shared" si="360"/>
        <v>0.31302400000000002</v>
      </c>
      <c r="AY335" s="120">
        <f t="shared" si="360"/>
        <v>0.117384</v>
      </c>
      <c r="AZ335" s="154">
        <f t="shared" si="360"/>
        <v>1.5895750000000002</v>
      </c>
      <c r="BA335" s="120">
        <f t="shared" si="360"/>
        <v>5.0866400000000001</v>
      </c>
      <c r="BB335" s="120">
        <f t="shared" si="360"/>
        <v>6.1822240000000006</v>
      </c>
      <c r="BC335" s="120">
        <f t="shared" si="360"/>
        <v>0.234768</v>
      </c>
      <c r="BD335" s="120">
        <f t="shared" si="360"/>
        <v>0</v>
      </c>
      <c r="BE335" s="120">
        <f t="shared" si="360"/>
        <v>5.0866400000000001</v>
      </c>
      <c r="BF335" s="120">
        <f t="shared" si="360"/>
        <v>7.8256000000000006</v>
      </c>
      <c r="BG335" s="154">
        <f t="shared" si="360"/>
        <v>0.24455000000000005</v>
      </c>
      <c r="BH335" s="120">
        <f t="shared" si="360"/>
        <v>0.78256000000000003</v>
      </c>
      <c r="BI335" s="120">
        <f t="shared" si="360"/>
        <v>3.9128000000000003E-2</v>
      </c>
      <c r="BJ335" s="120">
        <f t="shared" si="360"/>
        <v>7.8256000000000006E-2</v>
      </c>
      <c r="BK335" s="120">
        <f t="shared" si="360"/>
        <v>0</v>
      </c>
      <c r="BL335" s="120">
        <f t="shared" si="360"/>
        <v>0</v>
      </c>
      <c r="BM335" s="120">
        <f t="shared" si="360"/>
        <v>4998.6964273050289</v>
      </c>
      <c r="BN335" s="120">
        <f t="shared" si="360"/>
        <v>7690.3021958538902</v>
      </c>
      <c r="BO335" s="154">
        <f t="shared" si="360"/>
        <v>197.73324475099005</v>
      </c>
      <c r="BP335" s="120">
        <f t="shared" si="360"/>
        <v>769.03021958538909</v>
      </c>
      <c r="BQ335" s="120">
        <f t="shared" si="360"/>
        <v>76.903021958538901</v>
      </c>
      <c r="BR335" s="120">
        <f t="shared" si="360"/>
        <v>0</v>
      </c>
      <c r="BS335" s="120">
        <f t="shared" si="360"/>
        <v>0</v>
      </c>
      <c r="BT335" s="160">
        <f t="shared" si="346"/>
        <v>1.5409367222222226</v>
      </c>
      <c r="BU335" s="120"/>
      <c r="BV335" s="154"/>
      <c r="BW335" s="120"/>
      <c r="BX335" s="120"/>
      <c r="BY335" s="120"/>
      <c r="BZ335" s="120"/>
      <c r="CA335" s="160"/>
      <c r="CC335" s="110"/>
      <c r="CD335" s="111" t="str">
        <f t="shared" si="347"/>
        <v>Conejos - Clima Templado</v>
      </c>
      <c r="CE335" s="92" t="s">
        <v>688</v>
      </c>
      <c r="CF335" s="165">
        <f t="shared" si="349"/>
        <v>1.5409367222222226</v>
      </c>
      <c r="CG335" s="92" t="s">
        <v>636</v>
      </c>
      <c r="CH335" s="98">
        <v>0.2</v>
      </c>
      <c r="CI335" s="98">
        <v>0.5</v>
      </c>
      <c r="CJ335" s="97" t="s">
        <v>442</v>
      </c>
      <c r="CK335" s="165">
        <f t="shared" si="348"/>
        <v>0.42432814285714299</v>
      </c>
      <c r="CL335" s="92" t="s">
        <v>689</v>
      </c>
      <c r="CM335" s="98">
        <v>0.2</v>
      </c>
      <c r="CN335" s="98">
        <v>0.5</v>
      </c>
      <c r="CO335" s="97" t="s">
        <v>442</v>
      </c>
      <c r="CP335" s="167"/>
      <c r="CQ335" s="96"/>
      <c r="CR335" s="92"/>
      <c r="CS335" s="167"/>
      <c r="CT335" s="96"/>
      <c r="CU335" s="92"/>
      <c r="CV335" s="41"/>
      <c r="CW335" s="41"/>
      <c r="CX335" s="39"/>
      <c r="CY335" s="39"/>
      <c r="CZ335" s="41"/>
      <c r="DA335" s="41"/>
      <c r="DB335" s="41"/>
      <c r="DC335" s="41"/>
      <c r="DD335" s="39"/>
      <c r="DE335" s="39"/>
      <c r="DF335" s="41"/>
      <c r="DG335" s="41"/>
      <c r="DH335" s="41"/>
      <c r="DI335" s="42"/>
      <c r="DJ335" s="43"/>
      <c r="DK335" s="43">
        <v>0.25</v>
      </c>
      <c r="DU335" s="71"/>
      <c r="DV335" s="71"/>
      <c r="DY335" s="71"/>
      <c r="EA335" s="169"/>
      <c r="EB335" s="169"/>
      <c r="EC335" s="169"/>
      <c r="ED335" s="170"/>
      <c r="EE335" s="170"/>
      <c r="EF335" s="42"/>
    </row>
    <row r="336" spans="17:137" s="30" customFormat="1" ht="22.5" customHeight="1" thickBot="1">
      <c r="Q336" s="120" t="str">
        <f t="shared" si="361"/>
        <v>Conejos - Clima Cálido</v>
      </c>
      <c r="R336" s="120">
        <f t="shared" si="360"/>
        <v>0</v>
      </c>
      <c r="S336" s="120">
        <f t="shared" si="360"/>
        <v>1.37</v>
      </c>
      <c r="T336" s="120">
        <f t="shared" si="360"/>
        <v>30</v>
      </c>
      <c r="U336" s="120">
        <f t="shared" si="360"/>
        <v>0</v>
      </c>
      <c r="V336" s="120">
        <f t="shared" si="360"/>
        <v>0</v>
      </c>
      <c r="W336" s="120">
        <f t="shared" si="360"/>
        <v>0.11786892857142858</v>
      </c>
      <c r="X336" s="147">
        <f t="shared" si="360"/>
        <v>0.47147571428571433</v>
      </c>
      <c r="Y336" s="120">
        <f t="shared" si="360"/>
        <v>0.11786892857142858</v>
      </c>
      <c r="Z336" s="120">
        <f t="shared" si="360"/>
        <v>0</v>
      </c>
      <c r="AA336" s="120">
        <f t="shared" si="360"/>
        <v>0.23573785714285717</v>
      </c>
      <c r="AB336" s="150">
        <f t="shared" si="360"/>
        <v>1.6501650000000003</v>
      </c>
      <c r="AC336" s="120">
        <f t="shared" si="360"/>
        <v>1.6501650000000003</v>
      </c>
      <c r="AD336" s="120">
        <f t="shared" si="360"/>
        <v>0</v>
      </c>
      <c r="AE336" s="120">
        <f t="shared" si="360"/>
        <v>0</v>
      </c>
      <c r="AF336" s="120">
        <f t="shared" si="360"/>
        <v>0.14144271428571431</v>
      </c>
      <c r="AG336" s="120">
        <f t="shared" si="360"/>
        <v>0</v>
      </c>
      <c r="AH336" s="120">
        <f t="shared" si="360"/>
        <v>2.3573785714285718</v>
      </c>
      <c r="AI336" s="120">
        <f t="shared" si="360"/>
        <v>0</v>
      </c>
      <c r="AJ336" s="154">
        <f t="shared" si="360"/>
        <v>0.23573785714285717</v>
      </c>
      <c r="AK336" s="120">
        <f t="shared" si="360"/>
        <v>0.23573785714285717</v>
      </c>
      <c r="AL336" s="156">
        <f t="shared" si="340"/>
        <v>0.42432814285714299</v>
      </c>
      <c r="AM336" s="120">
        <f t="shared" si="360"/>
        <v>0</v>
      </c>
      <c r="AN336" s="120">
        <f t="shared" si="360"/>
        <v>0</v>
      </c>
      <c r="AO336" s="120">
        <f t="shared" si="360"/>
        <v>0</v>
      </c>
      <c r="AP336" s="120">
        <f t="shared" si="360"/>
        <v>0</v>
      </c>
      <c r="AQ336" s="120">
        <f t="shared" si="360"/>
        <v>0</v>
      </c>
      <c r="AR336" s="154">
        <f t="shared" si="360"/>
        <v>0.1</v>
      </c>
      <c r="AS336" s="120">
        <f t="shared" si="360"/>
        <v>0.1</v>
      </c>
      <c r="AT336" s="120">
        <f t="shared" si="360"/>
        <v>0.32</v>
      </c>
      <c r="AU336" s="120">
        <f t="shared" si="360"/>
        <v>0.15651200000000001</v>
      </c>
      <c r="AV336" s="120">
        <f t="shared" si="360"/>
        <v>7.8256000000000006E-2</v>
      </c>
      <c r="AW336" s="120">
        <f t="shared" si="360"/>
        <v>0</v>
      </c>
      <c r="AX336" s="120">
        <f t="shared" si="360"/>
        <v>0.39128000000000002</v>
      </c>
      <c r="AY336" s="120">
        <f t="shared" si="360"/>
        <v>0.15651200000000001</v>
      </c>
      <c r="AZ336" s="154">
        <f t="shared" si="360"/>
        <v>1.9564000000000004</v>
      </c>
      <c r="BA336" s="120">
        <f t="shared" si="360"/>
        <v>6.2604800000000003</v>
      </c>
      <c r="BB336" s="120">
        <f t="shared" si="360"/>
        <v>6.2604800000000003</v>
      </c>
      <c r="BC336" s="120">
        <f t="shared" si="360"/>
        <v>2.34768</v>
      </c>
      <c r="BD336" s="120">
        <f t="shared" si="360"/>
        <v>0</v>
      </c>
      <c r="BE336" s="120">
        <f t="shared" si="360"/>
        <v>6.2604800000000003</v>
      </c>
      <c r="BF336" s="120">
        <f t="shared" si="360"/>
        <v>7.8256000000000006</v>
      </c>
      <c r="BG336" s="154">
        <f t="shared" si="360"/>
        <v>0.24455000000000005</v>
      </c>
      <c r="BH336" s="120">
        <f t="shared" si="360"/>
        <v>0.78256000000000003</v>
      </c>
      <c r="BI336" s="120">
        <f t="shared" si="360"/>
        <v>3.9128000000000003E-2</v>
      </c>
      <c r="BJ336" s="120">
        <f t="shared" si="360"/>
        <v>0.117384</v>
      </c>
      <c r="BK336" s="120">
        <f t="shared" si="360"/>
        <v>0</v>
      </c>
      <c r="BL336" s="120">
        <f t="shared" si="360"/>
        <v>0</v>
      </c>
      <c r="BM336" s="120">
        <f t="shared" si="360"/>
        <v>7667.8378272194577</v>
      </c>
      <c r="BN336" s="120">
        <f t="shared" si="360"/>
        <v>9584.7972840243219</v>
      </c>
      <c r="BO336" s="154">
        <f t="shared" si="360"/>
        <v>299.52491512576012</v>
      </c>
      <c r="BP336" s="120">
        <f t="shared" si="360"/>
        <v>958.47972840243222</v>
      </c>
      <c r="BQ336" s="120">
        <f t="shared" si="360"/>
        <v>143.77195926036484</v>
      </c>
      <c r="BR336" s="120">
        <f t="shared" si="360"/>
        <v>0</v>
      </c>
      <c r="BS336" s="120">
        <f t="shared" si="360"/>
        <v>0</v>
      </c>
      <c r="BT336" s="160">
        <f t="shared" si="346"/>
        <v>1.8265167777777778</v>
      </c>
      <c r="BU336" s="120"/>
      <c r="BV336" s="154"/>
      <c r="BW336" s="120"/>
      <c r="BX336" s="120"/>
      <c r="BY336" s="120"/>
      <c r="BZ336" s="120"/>
      <c r="CA336" s="160"/>
      <c r="CC336" s="110"/>
      <c r="CD336" s="111" t="str">
        <f t="shared" si="347"/>
        <v>Conejos - Clima Cálido</v>
      </c>
      <c r="CE336" s="92" t="s">
        <v>688</v>
      </c>
      <c r="CF336" s="165">
        <f t="shared" si="349"/>
        <v>1.8265167777777778</v>
      </c>
      <c r="CG336" s="92" t="s">
        <v>636</v>
      </c>
      <c r="CH336" s="98">
        <v>0.2</v>
      </c>
      <c r="CI336" s="98">
        <v>0.5</v>
      </c>
      <c r="CJ336" s="97" t="s">
        <v>442</v>
      </c>
      <c r="CK336" s="165">
        <f t="shared" si="348"/>
        <v>0.42432814285714299</v>
      </c>
      <c r="CL336" s="92" t="s">
        <v>689</v>
      </c>
      <c r="CM336" s="98">
        <v>0.2</v>
      </c>
      <c r="CN336" s="98">
        <v>0.5</v>
      </c>
      <c r="CO336" s="97" t="s">
        <v>442</v>
      </c>
      <c r="CP336" s="167"/>
      <c r="CQ336" s="96"/>
      <c r="CR336" s="92"/>
      <c r="CS336" s="167"/>
      <c r="CT336" s="96"/>
      <c r="CU336" s="92"/>
      <c r="CV336" s="41"/>
      <c r="CW336" s="41"/>
      <c r="CX336" s="39"/>
      <c r="CY336" s="39"/>
      <c r="CZ336" s="41"/>
      <c r="DA336" s="41"/>
      <c r="DB336" s="41"/>
      <c r="DC336" s="41"/>
      <c r="DD336" s="39"/>
      <c r="DE336" s="39"/>
      <c r="DF336" s="41"/>
      <c r="DG336" s="41"/>
      <c r="DH336" s="41"/>
      <c r="DI336" s="42"/>
      <c r="DJ336" s="43"/>
      <c r="DK336" s="43">
        <v>0.25</v>
      </c>
      <c r="DU336" s="71"/>
      <c r="DV336" s="71"/>
      <c r="DY336" s="71"/>
      <c r="EA336" s="169"/>
      <c r="EB336" s="169"/>
      <c r="EC336" s="169"/>
      <c r="ED336" s="170"/>
      <c r="EE336" s="170"/>
      <c r="EF336" s="42"/>
    </row>
    <row r="337" spans="17:137" s="30" customFormat="1" ht="24.75" customHeight="1" thickBot="1">
      <c r="Q337" s="120" t="s">
        <v>722</v>
      </c>
      <c r="S337" s="143">
        <v>1.37</v>
      </c>
      <c r="T337" s="143">
        <v>30</v>
      </c>
      <c r="U337" s="146">
        <f t="shared" ref="U337:AK345" si="362">((($S337*($T337/1000)*365)*1)*U$306)*(44/28)</f>
        <v>0</v>
      </c>
      <c r="V337" s="146">
        <f t="shared" si="362"/>
        <v>0</v>
      </c>
      <c r="W337" s="146">
        <f t="shared" si="362"/>
        <v>0.11786892857142858</v>
      </c>
      <c r="X337" s="145">
        <f t="shared" si="362"/>
        <v>0.47147571428571433</v>
      </c>
      <c r="Y337" s="146">
        <f t="shared" si="362"/>
        <v>0.11786892857142858</v>
      </c>
      <c r="Z337" s="146">
        <f t="shared" si="362"/>
        <v>0</v>
      </c>
      <c r="AA337" s="146">
        <f t="shared" si="362"/>
        <v>0.23573785714285717</v>
      </c>
      <c r="AB337" s="149">
        <f t="shared" si="362"/>
        <v>1.6501650000000003</v>
      </c>
      <c r="AC337" s="146">
        <f t="shared" si="362"/>
        <v>1.6501650000000003</v>
      </c>
      <c r="AD337" s="146">
        <f t="shared" si="362"/>
        <v>0</v>
      </c>
      <c r="AE337" s="146">
        <f t="shared" si="362"/>
        <v>0</v>
      </c>
      <c r="AF337" s="146">
        <f t="shared" si="362"/>
        <v>0.14144271428571431</v>
      </c>
      <c r="AG337" s="146">
        <f t="shared" si="362"/>
        <v>0</v>
      </c>
      <c r="AH337" s="146">
        <f t="shared" si="362"/>
        <v>2.3573785714285718</v>
      </c>
      <c r="AI337" s="146">
        <v>0</v>
      </c>
      <c r="AJ337" s="153">
        <f t="shared" si="362"/>
        <v>0.23573785714285717</v>
      </c>
      <c r="AK337" s="146">
        <f t="shared" si="362"/>
        <v>0.23573785714285717</v>
      </c>
      <c r="AL337" s="156">
        <f t="shared" si="340"/>
        <v>0.42432814285714299</v>
      </c>
      <c r="AM337" s="29">
        <v>1.0900000000000001</v>
      </c>
      <c r="AN337" s="31">
        <v>0</v>
      </c>
      <c r="AP337" s="31">
        <v>0</v>
      </c>
      <c r="AQ337" s="158">
        <v>0.3</v>
      </c>
      <c r="AR337" s="157">
        <v>1.72</v>
      </c>
      <c r="AS337" s="159">
        <v>1.72</v>
      </c>
      <c r="AT337" s="159">
        <v>0.26</v>
      </c>
      <c r="AU337" s="161">
        <f>(AS337*365)*(AT337*0.67*0.01*1)</f>
        <v>1.0936276</v>
      </c>
      <c r="AV337" s="161">
        <f>(AS337*365)*(AT337*0.67*0.001*1)</f>
        <v>0.10936276000000002</v>
      </c>
      <c r="AW337" s="163"/>
      <c r="AX337" s="161">
        <f>(AS337*365)*(AT337*0.67*0.02*1)</f>
        <v>2.1872552000000001</v>
      </c>
      <c r="AY337" s="161">
        <f>(AS337*365)*(AT337*0.67*0.01*1)</f>
        <v>1.0936276</v>
      </c>
      <c r="AZ337" s="162">
        <f>(AR337*365)*(AS337*0.67*0.25*1)</f>
        <v>180.86918</v>
      </c>
      <c r="BA337" s="161">
        <f>(AS337*365)*(AT337*0.67*0.25*1)</f>
        <v>27.340690000000002</v>
      </c>
      <c r="BB337" s="161">
        <f>(AS337*365)*(AT337*0.67*0.73*1)</f>
        <v>79.83481479999999</v>
      </c>
      <c r="BC337" s="161">
        <f>(AS337*365)*(AT337*0.67*0.03*1)</f>
        <v>3.2808828000000001</v>
      </c>
      <c r="BD337" s="163"/>
      <c r="BE337" s="161">
        <f>(AS337*365)*(AT337*0.67*0.25*1)</f>
        <v>27.340690000000002</v>
      </c>
      <c r="BF337" s="161">
        <f t="shared" si="341"/>
        <v>109.36276000000001</v>
      </c>
      <c r="BG337" s="162">
        <f t="shared" si="342"/>
        <v>72.347672000000003</v>
      </c>
      <c r="BH337" s="161">
        <f t="shared" si="342"/>
        <v>10.936275999999999</v>
      </c>
      <c r="BI337" s="161">
        <f t="shared" si="343"/>
        <v>0.54681380000000002</v>
      </c>
      <c r="BJ337" s="161">
        <f>(AS337*365)*(AT337*0.67*0.005*1)</f>
        <v>0.54681380000000002</v>
      </c>
      <c r="BK337" s="161">
        <v>0</v>
      </c>
      <c r="BL337" s="161">
        <v>0</v>
      </c>
      <c r="BM337" s="161">
        <f>(BA337*365)*(BB337*0.67*0.25*1)</f>
        <v>133447.2008837719</v>
      </c>
      <c r="BN337" s="161">
        <f t="shared" ref="BN337:BN348" si="363">(BA337*365)*(BB337*0.67*1*1)</f>
        <v>533788.80353508762</v>
      </c>
      <c r="BO337" s="162">
        <f t="shared" ref="BO337:BP348" si="364">(AZ337*365)*(BA337*0.67*0.1*1)</f>
        <v>120932.13146474591</v>
      </c>
      <c r="BP337" s="161">
        <f t="shared" si="364"/>
        <v>53378.880353508765</v>
      </c>
      <c r="BQ337" s="161">
        <f>(BA337*365)*(BB337*0.67*0.005*1)</f>
        <v>2668.9440176754379</v>
      </c>
      <c r="BR337" s="161">
        <v>0</v>
      </c>
      <c r="BS337" s="161">
        <v>0</v>
      </c>
      <c r="BT337" s="160">
        <f t="shared" si="346"/>
        <v>32.3056541475</v>
      </c>
      <c r="BU337" s="161"/>
      <c r="BV337" s="162"/>
      <c r="BW337" s="161"/>
      <c r="BX337" s="161"/>
      <c r="BY337" s="161"/>
      <c r="BZ337" s="161"/>
      <c r="CA337" s="160"/>
      <c r="CC337" s="110"/>
      <c r="CD337" s="111" t="str">
        <f t="shared" si="347"/>
        <v>Caballos - Clima Frío</v>
      </c>
      <c r="CE337" s="92" t="s">
        <v>688</v>
      </c>
      <c r="CF337" s="165">
        <f t="shared" si="349"/>
        <v>32.3056541475</v>
      </c>
      <c r="CG337" s="92" t="s">
        <v>636</v>
      </c>
      <c r="CH337" s="98">
        <v>0.2</v>
      </c>
      <c r="CI337" s="98">
        <v>0.5</v>
      </c>
      <c r="CJ337" s="97" t="s">
        <v>442</v>
      </c>
      <c r="CK337" s="165">
        <f t="shared" si="348"/>
        <v>0.42432814285714299</v>
      </c>
      <c r="CL337" s="92" t="s">
        <v>689</v>
      </c>
      <c r="CM337" s="98">
        <v>0.2</v>
      </c>
      <c r="CN337" s="98">
        <v>0.5</v>
      </c>
      <c r="CO337" s="97" t="s">
        <v>442</v>
      </c>
      <c r="CP337" s="167"/>
      <c r="CQ337" s="96">
        <v>27.25</v>
      </c>
      <c r="CR337" s="92" t="s">
        <v>632</v>
      </c>
      <c r="CS337" s="167"/>
      <c r="CT337" s="96">
        <v>370.88228571428601</v>
      </c>
      <c r="CU337" s="92" t="s">
        <v>632</v>
      </c>
      <c r="CV337" s="41"/>
      <c r="CW337" s="41"/>
      <c r="CX337" s="39"/>
      <c r="CY337" s="39"/>
      <c r="CZ337" s="41"/>
      <c r="DA337" s="41"/>
      <c r="DB337" s="41"/>
      <c r="DC337" s="41"/>
      <c r="DD337" s="39"/>
      <c r="DE337" s="39"/>
      <c r="DF337" s="41"/>
      <c r="DG337" s="41"/>
      <c r="DH337" s="41"/>
      <c r="DI337" s="42"/>
      <c r="DJ337" s="43">
        <v>0.2</v>
      </c>
      <c r="DK337" s="43">
        <v>0.25</v>
      </c>
      <c r="DS337" s="30" t="s">
        <v>722</v>
      </c>
      <c r="DT337" s="30">
        <v>1.0900000000000001</v>
      </c>
      <c r="DU337" s="71">
        <f t="shared" si="350"/>
        <v>22.89</v>
      </c>
      <c r="DV337" s="71">
        <f t="shared" si="351"/>
        <v>27.250000000000004</v>
      </c>
      <c r="DW337" s="30">
        <v>40</v>
      </c>
      <c r="DX337" s="30">
        <v>0.99</v>
      </c>
      <c r="DY337" s="71">
        <f t="shared" si="352"/>
        <v>39.6</v>
      </c>
      <c r="DZ337" s="30">
        <v>0.02</v>
      </c>
      <c r="EA337" s="169">
        <f t="shared" si="353"/>
        <v>1.2445714285714284</v>
      </c>
      <c r="EB337" s="169">
        <f t="shared" si="354"/>
        <v>385.81714285714281</v>
      </c>
      <c r="EC337" s="169">
        <f t="shared" si="355"/>
        <v>370.88228571428567</v>
      </c>
      <c r="ED337" s="170">
        <f t="shared" si="356"/>
        <v>408.7071428571428</v>
      </c>
      <c r="EE337" s="170">
        <f t="shared" si="356"/>
        <v>398.13228571428567</v>
      </c>
      <c r="EF337" s="42" t="s">
        <v>688</v>
      </c>
    </row>
    <row r="338" spans="17:137" s="30" customFormat="1" ht="28.15" thickBot="1">
      <c r="Q338" s="120" t="s">
        <v>723</v>
      </c>
      <c r="S338" s="143">
        <v>1.37</v>
      </c>
      <c r="T338" s="143">
        <v>30</v>
      </c>
      <c r="U338" s="146">
        <f t="shared" si="362"/>
        <v>0</v>
      </c>
      <c r="V338" s="146">
        <f t="shared" si="362"/>
        <v>0</v>
      </c>
      <c r="W338" s="146">
        <f t="shared" si="362"/>
        <v>0.11786892857142858</v>
      </c>
      <c r="X338" s="145">
        <f t="shared" si="362"/>
        <v>0.47147571428571433</v>
      </c>
      <c r="Y338" s="146">
        <f t="shared" si="362"/>
        <v>0.11786892857142858</v>
      </c>
      <c r="Z338" s="146">
        <f t="shared" si="362"/>
        <v>0</v>
      </c>
      <c r="AA338" s="146">
        <f t="shared" si="362"/>
        <v>0.23573785714285717</v>
      </c>
      <c r="AB338" s="149">
        <f t="shared" si="362"/>
        <v>1.6501650000000003</v>
      </c>
      <c r="AC338" s="146">
        <f t="shared" si="362"/>
        <v>1.6501650000000003</v>
      </c>
      <c r="AD338" s="146">
        <f t="shared" si="362"/>
        <v>0</v>
      </c>
      <c r="AE338" s="146">
        <f t="shared" si="362"/>
        <v>0</v>
      </c>
      <c r="AF338" s="146">
        <f t="shared" si="362"/>
        <v>0.14144271428571431</v>
      </c>
      <c r="AG338" s="146">
        <f t="shared" si="362"/>
        <v>0</v>
      </c>
      <c r="AH338" s="146">
        <f t="shared" si="362"/>
        <v>2.3573785714285718</v>
      </c>
      <c r="AI338" s="146">
        <v>0</v>
      </c>
      <c r="AJ338" s="153">
        <f t="shared" si="362"/>
        <v>0.23573785714285717</v>
      </c>
      <c r="AK338" s="146">
        <f t="shared" si="362"/>
        <v>0.23573785714285717</v>
      </c>
      <c r="AL338" s="156">
        <f t="shared" si="340"/>
        <v>0.42432814285714299</v>
      </c>
      <c r="AM338" s="29">
        <v>1.64</v>
      </c>
      <c r="AN338" s="31">
        <v>0</v>
      </c>
      <c r="AP338" s="31">
        <v>0</v>
      </c>
      <c r="AQ338" s="158">
        <v>0.3</v>
      </c>
      <c r="AR338" s="157">
        <v>1.72</v>
      </c>
      <c r="AS338" s="159">
        <v>1.72</v>
      </c>
      <c r="AT338" s="159">
        <v>0.26</v>
      </c>
      <c r="AU338" s="161">
        <f>(AS338*365)*(AT338*0.67*0.015*1)</f>
        <v>1.6404414</v>
      </c>
      <c r="AV338" s="161">
        <f>(AS338*365)*(AT338*0.67*0.005*1)</f>
        <v>0.54681380000000002</v>
      </c>
      <c r="AW338" s="163"/>
      <c r="AX338" s="161">
        <f>(AS338*365)*(AT338*0.67*0.04*1)</f>
        <v>4.3745104000000001</v>
      </c>
      <c r="AY338" s="161">
        <f>(AS338*365)*(AT338*0.67*0.015*1)</f>
        <v>1.6404414</v>
      </c>
      <c r="AZ338" s="162">
        <f>(AR338*365)*(AS338*0.67*0.65*1)</f>
        <v>470.25986799999998</v>
      </c>
      <c r="BA338" s="161">
        <f>(AS338*365)*(AT338*0.67*0.65*1)</f>
        <v>71.085794000000007</v>
      </c>
      <c r="BB338" s="161">
        <f>(AS338*365)*(AT338*0.67*0.79*1)</f>
        <v>86.396580400000005</v>
      </c>
      <c r="BC338" s="161">
        <f>(AS338*365)*(AT338*0.67*0.03*1)</f>
        <v>3.2808828000000001</v>
      </c>
      <c r="BD338" s="163"/>
      <c r="BE338" s="161">
        <f>(AS338*365)*(AT338*0.67*0.65*1)</f>
        <v>71.085794000000007</v>
      </c>
      <c r="BF338" s="161">
        <f t="shared" si="341"/>
        <v>109.36276000000001</v>
      </c>
      <c r="BG338" s="162">
        <f t="shared" si="342"/>
        <v>72.347672000000003</v>
      </c>
      <c r="BH338" s="161">
        <f t="shared" si="342"/>
        <v>10.936275999999999</v>
      </c>
      <c r="BI338" s="161">
        <f t="shared" si="343"/>
        <v>0.54681380000000002</v>
      </c>
      <c r="BJ338" s="161">
        <f>(AS338*365)*(AT338*0.67*0.01*1)</f>
        <v>1.0936276</v>
      </c>
      <c r="BK338" s="161">
        <v>0</v>
      </c>
      <c r="BL338" s="161">
        <v>0</v>
      </c>
      <c r="BM338" s="161">
        <f>(BA338*365)*(BB338*0.67*0.65*1)</f>
        <v>976248.53643793927</v>
      </c>
      <c r="BN338" s="161">
        <f t="shared" si="363"/>
        <v>1501920.8252891372</v>
      </c>
      <c r="BO338" s="162">
        <f t="shared" si="364"/>
        <v>817501.20870168204</v>
      </c>
      <c r="BP338" s="161">
        <f t="shared" si="364"/>
        <v>150192.08252891374</v>
      </c>
      <c r="BQ338" s="161">
        <f>(BA338*365)*(BB338*0.67*0.01*1)</f>
        <v>15019.208252891371</v>
      </c>
      <c r="BR338" s="161">
        <v>0</v>
      </c>
      <c r="BS338" s="161">
        <v>0</v>
      </c>
      <c r="BT338" s="160">
        <f t="shared" si="346"/>
        <v>56.537392224999991</v>
      </c>
      <c r="BU338" s="161"/>
      <c r="BV338" s="162"/>
      <c r="BW338" s="161"/>
      <c r="BX338" s="161"/>
      <c r="BY338" s="161"/>
      <c r="BZ338" s="161"/>
      <c r="CA338" s="160"/>
      <c r="CC338" s="110"/>
      <c r="CD338" s="111" t="str">
        <f t="shared" si="347"/>
        <v>Caballos - Clima Templado</v>
      </c>
      <c r="CE338" s="92" t="s">
        <v>688</v>
      </c>
      <c r="CF338" s="165">
        <f t="shared" si="349"/>
        <v>56.537392224999991</v>
      </c>
      <c r="CG338" s="92" t="s">
        <v>636</v>
      </c>
      <c r="CH338" s="98">
        <v>0.2</v>
      </c>
      <c r="CI338" s="98">
        <v>0.5</v>
      </c>
      <c r="CJ338" s="97" t="s">
        <v>442</v>
      </c>
      <c r="CK338" s="165">
        <f t="shared" si="348"/>
        <v>0.42432814285714299</v>
      </c>
      <c r="CL338" s="92" t="s">
        <v>689</v>
      </c>
      <c r="CM338" s="98">
        <v>0.2</v>
      </c>
      <c r="CN338" s="98">
        <v>0.5</v>
      </c>
      <c r="CO338" s="97" t="s">
        <v>442</v>
      </c>
      <c r="CP338" s="167"/>
      <c r="CQ338" s="96">
        <v>41</v>
      </c>
      <c r="CR338" s="92" t="s">
        <v>632</v>
      </c>
      <c r="CS338" s="167"/>
      <c r="CT338" s="96">
        <v>370.88228571428601</v>
      </c>
      <c r="CU338" s="92" t="s">
        <v>632</v>
      </c>
      <c r="CV338" s="41"/>
      <c r="CW338" s="41"/>
      <c r="CX338" s="39"/>
      <c r="CY338" s="39"/>
      <c r="CZ338" s="41"/>
      <c r="DA338" s="41"/>
      <c r="DB338" s="41"/>
      <c r="DC338" s="41"/>
      <c r="DD338" s="39"/>
      <c r="DE338" s="39"/>
      <c r="DF338" s="41"/>
      <c r="DG338" s="41"/>
      <c r="DH338" s="41"/>
      <c r="DI338" s="42"/>
      <c r="DJ338" s="43">
        <v>0.2</v>
      </c>
      <c r="DK338" s="43">
        <v>0.25</v>
      </c>
      <c r="DS338" s="30" t="s">
        <v>723</v>
      </c>
      <c r="DT338" s="30">
        <v>1.64</v>
      </c>
      <c r="DU338" s="71">
        <f t="shared" si="350"/>
        <v>34.44</v>
      </c>
      <c r="DV338" s="71">
        <f t="shared" si="351"/>
        <v>41</v>
      </c>
      <c r="DW338" s="30">
        <v>40</v>
      </c>
      <c r="DX338" s="30">
        <v>0.99</v>
      </c>
      <c r="DY338" s="71">
        <f t="shared" si="352"/>
        <v>39.6</v>
      </c>
      <c r="DZ338" s="30">
        <v>0.02</v>
      </c>
      <c r="EA338" s="169">
        <f t="shared" si="353"/>
        <v>1.2445714285714284</v>
      </c>
      <c r="EB338" s="169">
        <f t="shared" si="354"/>
        <v>385.81714285714281</v>
      </c>
      <c r="EC338" s="169">
        <f t="shared" si="355"/>
        <v>370.88228571428567</v>
      </c>
      <c r="ED338" s="170">
        <f t="shared" si="356"/>
        <v>420.25714285714281</v>
      </c>
      <c r="EE338" s="170">
        <f t="shared" si="356"/>
        <v>411.88228571428567</v>
      </c>
      <c r="EF338" s="42" t="s">
        <v>688</v>
      </c>
      <c r="EG338" s="30" t="s">
        <v>693</v>
      </c>
    </row>
    <row r="339" spans="17:137" s="30" customFormat="1" ht="28.15" thickBot="1">
      <c r="Q339" s="120" t="s">
        <v>724</v>
      </c>
      <c r="S339" s="143">
        <v>1.37</v>
      </c>
      <c r="T339" s="143">
        <v>30</v>
      </c>
      <c r="U339" s="146">
        <f t="shared" si="362"/>
        <v>0</v>
      </c>
      <c r="V339" s="146">
        <f t="shared" si="362"/>
        <v>0</v>
      </c>
      <c r="W339" s="146">
        <f t="shared" si="362"/>
        <v>0.11786892857142858</v>
      </c>
      <c r="X339" s="145">
        <f t="shared" si="362"/>
        <v>0.47147571428571433</v>
      </c>
      <c r="Y339" s="146">
        <f t="shared" si="362"/>
        <v>0.11786892857142858</v>
      </c>
      <c r="Z339" s="146">
        <f t="shared" si="362"/>
        <v>0</v>
      </c>
      <c r="AA339" s="146">
        <f t="shared" si="362"/>
        <v>0.23573785714285717</v>
      </c>
      <c r="AB339" s="149">
        <f t="shared" si="362"/>
        <v>1.6501650000000003</v>
      </c>
      <c r="AC339" s="146">
        <f t="shared" si="362"/>
        <v>1.6501650000000003</v>
      </c>
      <c r="AD339" s="146">
        <f t="shared" si="362"/>
        <v>0</v>
      </c>
      <c r="AE339" s="146">
        <f t="shared" si="362"/>
        <v>0</v>
      </c>
      <c r="AF339" s="146">
        <f t="shared" si="362"/>
        <v>0.14144271428571431</v>
      </c>
      <c r="AG339" s="146">
        <f t="shared" si="362"/>
        <v>0</v>
      </c>
      <c r="AH339" s="146">
        <f t="shared" si="362"/>
        <v>2.3573785714285718</v>
      </c>
      <c r="AI339" s="146">
        <v>0</v>
      </c>
      <c r="AJ339" s="153">
        <f t="shared" si="362"/>
        <v>0.23573785714285717</v>
      </c>
      <c r="AK339" s="146">
        <f t="shared" si="362"/>
        <v>0.23573785714285717</v>
      </c>
      <c r="AL339" s="156">
        <f t="shared" si="340"/>
        <v>0.42432814285714299</v>
      </c>
      <c r="AM339" s="29">
        <v>2.19</v>
      </c>
      <c r="AN339" s="31">
        <v>0</v>
      </c>
      <c r="AP339" s="31">
        <v>0</v>
      </c>
      <c r="AQ339" s="158">
        <v>0.3</v>
      </c>
      <c r="AR339" s="157">
        <v>1.72</v>
      </c>
      <c r="AS339" s="159">
        <v>1.72</v>
      </c>
      <c r="AT339" s="159">
        <v>0.26</v>
      </c>
      <c r="AU339" s="161">
        <f>(AS339*365)*(AT339*0.67*0.02*1)</f>
        <v>2.1872552000000001</v>
      </c>
      <c r="AV339" s="161">
        <f>(AS339*365)*(AT339*0.67*0.01*1)</f>
        <v>1.0936276</v>
      </c>
      <c r="AW339" s="163"/>
      <c r="AX339" s="161">
        <f>(AS339*365)*(AT339*0.67*0.05*1)</f>
        <v>5.4681379999999997</v>
      </c>
      <c r="AY339" s="161">
        <f>(AS339*365)*(AT339*0.67*0.02*1)</f>
        <v>2.1872552000000001</v>
      </c>
      <c r="AZ339" s="162">
        <f>(AR339*365)*(AS339*0.67*0.8*1)</f>
        <v>578.78137600000002</v>
      </c>
      <c r="BA339" s="161">
        <f>(AS339*365)*(AT339*0.67*0.8*1)</f>
        <v>87.490207999999996</v>
      </c>
      <c r="BB339" s="161">
        <f>(AS339*365)*(AT339*0.67*0.8*1)</f>
        <v>87.490207999999996</v>
      </c>
      <c r="BC339" s="161">
        <f>(AS339*365)*(AT339*0.67*0.3*1)</f>
        <v>32.808828000000005</v>
      </c>
      <c r="BD339" s="163"/>
      <c r="BE339" s="161">
        <f>(AS339*365)*(AT339*0.67*0.8*1)</f>
        <v>87.490207999999996</v>
      </c>
      <c r="BF339" s="161">
        <f t="shared" si="341"/>
        <v>109.36276000000001</v>
      </c>
      <c r="BG339" s="162">
        <f t="shared" si="342"/>
        <v>72.347672000000003</v>
      </c>
      <c r="BH339" s="161">
        <f t="shared" si="342"/>
        <v>10.936275999999999</v>
      </c>
      <c r="BI339" s="161">
        <f t="shared" si="343"/>
        <v>0.54681380000000002</v>
      </c>
      <c r="BJ339" s="161">
        <f>(AS339*365)*(AT339*0.67*0.015*1)</f>
        <v>1.6404414</v>
      </c>
      <c r="BK339" s="161">
        <v>0</v>
      </c>
      <c r="BL339" s="161">
        <v>0</v>
      </c>
      <c r="BM339" s="161">
        <f>(BA339*365)*(BB339*0.67*0.8*1)</f>
        <v>1497533.5200546018</v>
      </c>
      <c r="BN339" s="161">
        <f t="shared" si="363"/>
        <v>1871916.9000682521</v>
      </c>
      <c r="BO339" s="162">
        <f t="shared" si="364"/>
        <v>1238345.0261989979</v>
      </c>
      <c r="BP339" s="161">
        <f t="shared" si="364"/>
        <v>187191.69000682523</v>
      </c>
      <c r="BQ339" s="161">
        <f>(BA339*365)*(BB339*0.67*0.015*1)</f>
        <v>28078.753501023784</v>
      </c>
      <c r="BR339" s="161">
        <v>0</v>
      </c>
      <c r="BS339" s="161">
        <v>0</v>
      </c>
      <c r="BT339" s="160">
        <f t="shared" si="346"/>
        <v>67.4894417</v>
      </c>
      <c r="BU339" s="161"/>
      <c r="BV339" s="162"/>
      <c r="BW339" s="161"/>
      <c r="BX339" s="161"/>
      <c r="BY339" s="161"/>
      <c r="BZ339" s="161"/>
      <c r="CA339" s="160"/>
      <c r="CC339" s="110"/>
      <c r="CD339" s="111" t="str">
        <f t="shared" si="347"/>
        <v>Caballos - Clima Cálido</v>
      </c>
      <c r="CE339" s="92" t="s">
        <v>688</v>
      </c>
      <c r="CF339" s="165">
        <f t="shared" si="349"/>
        <v>67.4894417</v>
      </c>
      <c r="CG339" s="92" t="s">
        <v>636</v>
      </c>
      <c r="CH339" s="98">
        <v>0.2</v>
      </c>
      <c r="CI339" s="98">
        <v>0.5</v>
      </c>
      <c r="CJ339" s="97" t="s">
        <v>442</v>
      </c>
      <c r="CK339" s="165">
        <f t="shared" si="348"/>
        <v>0.42432814285714299</v>
      </c>
      <c r="CL339" s="92" t="s">
        <v>689</v>
      </c>
      <c r="CM339" s="98">
        <v>0.2</v>
      </c>
      <c r="CN339" s="98">
        <v>0.5</v>
      </c>
      <c r="CO339" s="97" t="s">
        <v>442</v>
      </c>
      <c r="CP339" s="166"/>
      <c r="CQ339" s="96">
        <v>54.5</v>
      </c>
      <c r="CR339" s="92" t="s">
        <v>632</v>
      </c>
      <c r="CS339" s="166"/>
      <c r="CT339" s="96">
        <v>370.88228571428601</v>
      </c>
      <c r="CU339" s="92" t="s">
        <v>632</v>
      </c>
      <c r="CV339" s="39"/>
      <c r="CW339" s="41"/>
      <c r="CX339" s="39"/>
      <c r="CY339" s="39"/>
      <c r="CZ339" s="41"/>
      <c r="DA339" s="41"/>
      <c r="DB339" s="41"/>
      <c r="DC339" s="41"/>
      <c r="DD339" s="39"/>
      <c r="DE339" s="39"/>
      <c r="DF339" s="41"/>
      <c r="DG339" s="41"/>
      <c r="DH339" s="41"/>
      <c r="DI339" s="42"/>
      <c r="DJ339" s="43">
        <v>0.2</v>
      </c>
      <c r="DK339" s="43">
        <v>0.25</v>
      </c>
      <c r="DS339" s="30" t="s">
        <v>724</v>
      </c>
      <c r="DT339" s="30">
        <v>2.1800000000000002</v>
      </c>
      <c r="DU339" s="71">
        <f t="shared" si="350"/>
        <v>45.78</v>
      </c>
      <c r="DV339" s="71">
        <f t="shared" si="351"/>
        <v>54.500000000000007</v>
      </c>
      <c r="DW339" s="30">
        <v>40</v>
      </c>
      <c r="DX339" s="30">
        <v>0.99</v>
      </c>
      <c r="DY339" s="71">
        <f t="shared" si="352"/>
        <v>39.6</v>
      </c>
      <c r="DZ339" s="30">
        <v>0.02</v>
      </c>
      <c r="EA339" s="169">
        <f t="shared" si="353"/>
        <v>1.2445714285714284</v>
      </c>
      <c r="EB339" s="169">
        <f t="shared" si="354"/>
        <v>385.81714285714281</v>
      </c>
      <c r="EC339" s="169">
        <f t="shared" si="355"/>
        <v>370.88228571428567</v>
      </c>
      <c r="ED339" s="170">
        <f t="shared" si="356"/>
        <v>431.59714285714279</v>
      </c>
      <c r="EE339" s="170">
        <f t="shared" si="356"/>
        <v>425.38228571428567</v>
      </c>
      <c r="EF339" s="42" t="s">
        <v>688</v>
      </c>
      <c r="EG339" s="30" t="s">
        <v>693</v>
      </c>
    </row>
    <row r="340" spans="17:137" s="30" customFormat="1" ht="28.15" thickBot="1">
      <c r="Q340" s="120" t="s">
        <v>725</v>
      </c>
      <c r="S340" s="143">
        <v>1.37</v>
      </c>
      <c r="T340" s="143">
        <v>30</v>
      </c>
      <c r="U340" s="146">
        <f t="shared" si="362"/>
        <v>0</v>
      </c>
      <c r="V340" s="146">
        <f t="shared" si="362"/>
        <v>0</v>
      </c>
      <c r="W340" s="146">
        <f t="shared" si="362"/>
        <v>0.11786892857142858</v>
      </c>
      <c r="X340" s="145">
        <f t="shared" si="362"/>
        <v>0.47147571428571433</v>
      </c>
      <c r="Y340" s="146">
        <f t="shared" si="362"/>
        <v>0.11786892857142858</v>
      </c>
      <c r="Z340" s="146">
        <f t="shared" si="362"/>
        <v>0</v>
      </c>
      <c r="AA340" s="146">
        <f t="shared" si="362"/>
        <v>0.23573785714285717</v>
      </c>
      <c r="AB340" s="149">
        <f t="shared" si="362"/>
        <v>1.6501650000000003</v>
      </c>
      <c r="AC340" s="146">
        <f t="shared" si="362"/>
        <v>1.6501650000000003</v>
      </c>
      <c r="AD340" s="146">
        <f t="shared" si="362"/>
        <v>0</v>
      </c>
      <c r="AE340" s="146">
        <f t="shared" si="362"/>
        <v>0</v>
      </c>
      <c r="AF340" s="146">
        <f t="shared" si="362"/>
        <v>0.14144271428571431</v>
      </c>
      <c r="AG340" s="146">
        <f t="shared" si="362"/>
        <v>0</v>
      </c>
      <c r="AH340" s="146">
        <f t="shared" si="362"/>
        <v>2.3573785714285718</v>
      </c>
      <c r="AI340" s="146">
        <v>0</v>
      </c>
      <c r="AJ340" s="153">
        <f t="shared" si="362"/>
        <v>0.23573785714285717</v>
      </c>
      <c r="AK340" s="146">
        <f t="shared" si="362"/>
        <v>0.23573785714285717</v>
      </c>
      <c r="AL340" s="156">
        <f t="shared" si="340"/>
        <v>0.42432814285714299</v>
      </c>
      <c r="AM340" s="29">
        <v>0.6</v>
      </c>
      <c r="AN340" s="31">
        <v>0</v>
      </c>
      <c r="AP340" s="31">
        <v>0</v>
      </c>
      <c r="AQ340" s="158">
        <v>0.3</v>
      </c>
      <c r="AR340" s="157">
        <v>0.94</v>
      </c>
      <c r="AS340" s="159">
        <v>0.94</v>
      </c>
      <c r="AT340" s="159">
        <v>0.26</v>
      </c>
      <c r="AU340" s="161">
        <f>(AS340*365)*(AT340*0.67*0.01*1)</f>
        <v>0.59768019999999999</v>
      </c>
      <c r="AV340" s="161">
        <f>(AS340*365)*(AT340*0.67*0.001*1)</f>
        <v>5.9768020000000005E-2</v>
      </c>
      <c r="AW340" s="163"/>
      <c r="AX340" s="161">
        <f>(AS340*365)*(AT340*0.67*0.02*1)</f>
        <v>1.1953604</v>
      </c>
      <c r="AY340" s="161">
        <f>(AS340*365)*(AT340*0.67*0.01*1)</f>
        <v>0.59768019999999999</v>
      </c>
      <c r="AZ340" s="162">
        <f>(AR340*365)*(AS340*0.67*0.25*1)</f>
        <v>54.021094999999995</v>
      </c>
      <c r="BA340" s="161">
        <f>(AS340*365)*(AT340*0.67*0.25*1)</f>
        <v>14.942005</v>
      </c>
      <c r="BB340" s="161">
        <f>(AS340*365)*(AT340*0.67*0.73*1)</f>
        <v>43.630654599999993</v>
      </c>
      <c r="BC340" s="161">
        <f>(AS340*365)*(AT340*0.67*0.03*1)</f>
        <v>1.7930406000000001</v>
      </c>
      <c r="BD340" s="163"/>
      <c r="BE340" s="161">
        <f>(AS340*365)*(AT340*0.67*0.25*1)</f>
        <v>14.942005</v>
      </c>
      <c r="BF340" s="161">
        <f t="shared" si="341"/>
        <v>59.76802</v>
      </c>
      <c r="BG340" s="162">
        <f t="shared" si="342"/>
        <v>21.608438</v>
      </c>
      <c r="BH340" s="161">
        <f t="shared" si="342"/>
        <v>5.9768020000000002</v>
      </c>
      <c r="BI340" s="161">
        <f t="shared" si="343"/>
        <v>0.2988401</v>
      </c>
      <c r="BJ340" s="161">
        <f>(AS340*365)*(AT340*0.67*0.005*1)</f>
        <v>0.2988401</v>
      </c>
      <c r="BK340" s="161">
        <v>0</v>
      </c>
      <c r="BL340" s="161">
        <v>0</v>
      </c>
      <c r="BM340" s="161">
        <f>(BA340*365)*(BB340*0.67*0.25*1)</f>
        <v>39857.337311012991</v>
      </c>
      <c r="BN340" s="161">
        <f t="shared" si="363"/>
        <v>159429.34924405196</v>
      </c>
      <c r="BO340" s="162">
        <f t="shared" si="364"/>
        <v>19739.671797867344</v>
      </c>
      <c r="BP340" s="161">
        <f t="shared" si="364"/>
        <v>15942.934924405197</v>
      </c>
      <c r="BQ340" s="161">
        <f>(BA340*365)*(BB340*0.67*0.005*1)</f>
        <v>797.14674622025973</v>
      </c>
      <c r="BR340" s="161">
        <v>0</v>
      </c>
      <c r="BS340" s="161">
        <v>0</v>
      </c>
      <c r="BT340" s="160">
        <f t="shared" si="346"/>
        <v>13.733139326250001</v>
      </c>
      <c r="BU340" s="161"/>
      <c r="BV340" s="162"/>
      <c r="BW340" s="161"/>
      <c r="BX340" s="161"/>
      <c r="BY340" s="161"/>
      <c r="BZ340" s="161"/>
      <c r="CA340" s="160"/>
      <c r="CC340" s="110"/>
      <c r="CD340" s="111" t="str">
        <f t="shared" si="347"/>
        <v>Mulas y Asnos - Clima Frío</v>
      </c>
      <c r="CE340" s="92" t="s">
        <v>688</v>
      </c>
      <c r="CF340" s="165">
        <f t="shared" si="349"/>
        <v>13.733139326250001</v>
      </c>
      <c r="CG340" s="92" t="s">
        <v>636</v>
      </c>
      <c r="CH340" s="98">
        <v>0.2</v>
      </c>
      <c r="CI340" s="98">
        <v>0.5</v>
      </c>
      <c r="CJ340" s="97" t="s">
        <v>442</v>
      </c>
      <c r="CK340" s="165">
        <f t="shared" si="348"/>
        <v>0.42432814285714299</v>
      </c>
      <c r="CL340" s="92" t="s">
        <v>689</v>
      </c>
      <c r="CM340" s="98">
        <v>0.2</v>
      </c>
      <c r="CN340" s="98">
        <v>0.5</v>
      </c>
      <c r="CO340" s="97" t="s">
        <v>442</v>
      </c>
      <c r="CP340" s="166"/>
      <c r="CQ340" s="96">
        <v>15</v>
      </c>
      <c r="CR340" s="92" t="s">
        <v>632</v>
      </c>
      <c r="CS340" s="166"/>
      <c r="CT340" s="96">
        <v>370.88228571428601</v>
      </c>
      <c r="CU340" s="92" t="s">
        <v>632</v>
      </c>
      <c r="CV340" s="39"/>
      <c r="CW340" s="41"/>
      <c r="CX340" s="39"/>
      <c r="CY340" s="39"/>
      <c r="CZ340" s="41"/>
      <c r="DA340" s="41"/>
      <c r="DB340" s="41"/>
      <c r="DC340" s="41"/>
      <c r="DD340" s="39"/>
      <c r="DE340" s="39"/>
      <c r="DF340" s="41"/>
      <c r="DG340" s="41"/>
      <c r="DH340" s="41"/>
      <c r="DI340" s="42"/>
      <c r="DJ340" s="43">
        <v>0.2</v>
      </c>
      <c r="DK340" s="43">
        <v>0.25</v>
      </c>
      <c r="DS340" s="30" t="s">
        <v>725</v>
      </c>
      <c r="DT340" s="30">
        <v>0.6</v>
      </c>
      <c r="DU340" s="71">
        <f t="shared" si="350"/>
        <v>12.6</v>
      </c>
      <c r="DV340" s="71">
        <f t="shared" si="351"/>
        <v>15</v>
      </c>
      <c r="DW340" s="30">
        <v>40</v>
      </c>
      <c r="DX340" s="30">
        <v>0.99</v>
      </c>
      <c r="DY340" s="71">
        <f t="shared" si="352"/>
        <v>39.6</v>
      </c>
      <c r="DZ340" s="30">
        <v>0.02</v>
      </c>
      <c r="EA340" s="169">
        <f t="shared" si="353"/>
        <v>1.2445714285714284</v>
      </c>
      <c r="EB340" s="169">
        <f t="shared" si="354"/>
        <v>385.81714285714281</v>
      </c>
      <c r="EC340" s="169">
        <f t="shared" si="355"/>
        <v>370.88228571428567</v>
      </c>
      <c r="ED340" s="170">
        <f t="shared" si="356"/>
        <v>398.41714285714284</v>
      </c>
      <c r="EE340" s="170">
        <f t="shared" si="356"/>
        <v>385.88228571428567</v>
      </c>
      <c r="EF340" s="42" t="s">
        <v>688</v>
      </c>
      <c r="EG340" s="30" t="s">
        <v>693</v>
      </c>
    </row>
    <row r="341" spans="17:137" s="30" customFormat="1" ht="28.15" thickBot="1">
      <c r="Q341" s="120" t="s">
        <v>726</v>
      </c>
      <c r="S341" s="143">
        <v>1.37</v>
      </c>
      <c r="T341" s="143">
        <v>30</v>
      </c>
      <c r="U341" s="146">
        <f t="shared" si="362"/>
        <v>0</v>
      </c>
      <c r="V341" s="146">
        <f t="shared" si="362"/>
        <v>0</v>
      </c>
      <c r="W341" s="146">
        <f t="shared" si="362"/>
        <v>0.11786892857142858</v>
      </c>
      <c r="X341" s="145">
        <f t="shared" si="362"/>
        <v>0.47147571428571433</v>
      </c>
      <c r="Y341" s="146">
        <f t="shared" si="362"/>
        <v>0.11786892857142858</v>
      </c>
      <c r="Z341" s="146">
        <f t="shared" si="362"/>
        <v>0</v>
      </c>
      <c r="AA341" s="146">
        <f t="shared" si="362"/>
        <v>0.23573785714285717</v>
      </c>
      <c r="AB341" s="149">
        <f t="shared" si="362"/>
        <v>1.6501650000000003</v>
      </c>
      <c r="AC341" s="146">
        <f t="shared" si="362"/>
        <v>1.6501650000000003</v>
      </c>
      <c r="AD341" s="146">
        <f t="shared" si="362"/>
        <v>0</v>
      </c>
      <c r="AE341" s="146">
        <f t="shared" si="362"/>
        <v>0</v>
      </c>
      <c r="AF341" s="146">
        <f t="shared" si="362"/>
        <v>0.14144271428571431</v>
      </c>
      <c r="AG341" s="146">
        <f t="shared" si="362"/>
        <v>0</v>
      </c>
      <c r="AH341" s="146">
        <f t="shared" si="362"/>
        <v>2.3573785714285718</v>
      </c>
      <c r="AI341" s="146">
        <v>0</v>
      </c>
      <c r="AJ341" s="153">
        <f t="shared" si="362"/>
        <v>0.23573785714285717</v>
      </c>
      <c r="AK341" s="146">
        <f t="shared" si="362"/>
        <v>0.23573785714285717</v>
      </c>
      <c r="AL341" s="156">
        <f t="shared" si="340"/>
        <v>0.42432814285714299</v>
      </c>
      <c r="AM341" s="29">
        <v>0.9</v>
      </c>
      <c r="AN341" s="31">
        <v>0</v>
      </c>
      <c r="AP341" s="31">
        <v>0</v>
      </c>
      <c r="AQ341" s="158">
        <v>0.3</v>
      </c>
      <c r="AR341" s="157">
        <v>0.94</v>
      </c>
      <c r="AS341" s="159">
        <v>0.94</v>
      </c>
      <c r="AT341" s="159">
        <v>0.26</v>
      </c>
      <c r="AU341" s="161">
        <f>(AS341*365)*(AT341*0.67*0.015*1)</f>
        <v>0.89652030000000005</v>
      </c>
      <c r="AV341" s="161">
        <f>(AS341*365)*(AT341*0.67*0.005*1)</f>
        <v>0.2988401</v>
      </c>
      <c r="AW341" s="163"/>
      <c r="AX341" s="161">
        <f>(AS341*365)*(AT341*0.67*0.04*1)</f>
        <v>2.3907208</v>
      </c>
      <c r="AY341" s="161">
        <f>(AS341*365)*(AT341*0.67*0.015*1)</f>
        <v>0.89652030000000005</v>
      </c>
      <c r="AZ341" s="162">
        <f>(AR341*365)*(AS341*0.67*0.65*1)</f>
        <v>140.454847</v>
      </c>
      <c r="BA341" s="161">
        <f>(AS341*365)*(AT341*0.67*0.65*1)</f>
        <v>38.849212999999999</v>
      </c>
      <c r="BB341" s="161">
        <f>(AS341*365)*(AT341*0.67*0.79*1)</f>
        <v>47.216735800000002</v>
      </c>
      <c r="BC341" s="161">
        <f>(AS341*365)*(AT341*0.67*0.03*1)</f>
        <v>1.7930406000000001</v>
      </c>
      <c r="BD341" s="163"/>
      <c r="BE341" s="161">
        <f>(AS341*365)*(AT341*0.67*0.65*1)</f>
        <v>38.849212999999999</v>
      </c>
      <c r="BF341" s="161">
        <f t="shared" si="341"/>
        <v>59.76802</v>
      </c>
      <c r="BG341" s="162">
        <f t="shared" si="342"/>
        <v>21.608438</v>
      </c>
      <c r="BH341" s="161">
        <f t="shared" si="342"/>
        <v>5.9768020000000002</v>
      </c>
      <c r="BI341" s="161">
        <f t="shared" si="343"/>
        <v>0.2988401</v>
      </c>
      <c r="BJ341" s="161">
        <f>(AS341*365)*(AT341*0.67*0.01*1)</f>
        <v>0.59768019999999999</v>
      </c>
      <c r="BK341" s="161">
        <v>0</v>
      </c>
      <c r="BL341" s="161">
        <v>0</v>
      </c>
      <c r="BM341" s="161">
        <f>(BA341*365)*(BB341*0.67*0.65*1)</f>
        <v>291580.99202155316</v>
      </c>
      <c r="BN341" s="161">
        <f t="shared" si="363"/>
        <v>448586.14157162019</v>
      </c>
      <c r="BO341" s="162">
        <f t="shared" si="364"/>
        <v>133440.18135358323</v>
      </c>
      <c r="BP341" s="161">
        <f t="shared" si="364"/>
        <v>44858.614157162025</v>
      </c>
      <c r="BQ341" s="161">
        <f>(BA341*365)*(BB341*0.67*0.01*1)</f>
        <v>4485.8614157162028</v>
      </c>
      <c r="BR341" s="161">
        <v>0</v>
      </c>
      <c r="BS341" s="161">
        <v>0</v>
      </c>
      <c r="BT341" s="160">
        <f t="shared" si="346"/>
        <v>22.493464450000001</v>
      </c>
      <c r="BU341" s="161"/>
      <c r="BV341" s="162"/>
      <c r="BW341" s="161"/>
      <c r="BX341" s="161"/>
      <c r="BY341" s="161"/>
      <c r="BZ341" s="161"/>
      <c r="CA341" s="160"/>
      <c r="CC341" s="110"/>
      <c r="CD341" s="111" t="str">
        <f t="shared" si="347"/>
        <v>Mulas y Asnos - Clima Templado</v>
      </c>
      <c r="CE341" s="92" t="s">
        <v>688</v>
      </c>
      <c r="CF341" s="165">
        <f t="shared" si="349"/>
        <v>22.493464450000001</v>
      </c>
      <c r="CG341" s="92" t="s">
        <v>636</v>
      </c>
      <c r="CH341" s="98">
        <v>0.2</v>
      </c>
      <c r="CI341" s="98">
        <v>0.5</v>
      </c>
      <c r="CJ341" s="97" t="s">
        <v>442</v>
      </c>
      <c r="CK341" s="165">
        <f t="shared" si="348"/>
        <v>0.42432814285714299</v>
      </c>
      <c r="CL341" s="92" t="s">
        <v>689</v>
      </c>
      <c r="CM341" s="98">
        <v>0.2</v>
      </c>
      <c r="CN341" s="98">
        <v>0.5</v>
      </c>
      <c r="CO341" s="97" t="s">
        <v>442</v>
      </c>
      <c r="CP341" s="166"/>
      <c r="CQ341" s="96">
        <v>22.5</v>
      </c>
      <c r="CR341" s="92" t="s">
        <v>632</v>
      </c>
      <c r="CS341" s="166"/>
      <c r="CT341" s="96">
        <v>370.88228571428601</v>
      </c>
      <c r="CU341" s="92" t="s">
        <v>632</v>
      </c>
      <c r="CV341" s="39"/>
      <c r="CW341" s="41"/>
      <c r="CX341" s="39"/>
      <c r="CY341" s="39"/>
      <c r="CZ341" s="41"/>
      <c r="DA341" s="41"/>
      <c r="DB341" s="41"/>
      <c r="DC341" s="41"/>
      <c r="DD341" s="39"/>
      <c r="DE341" s="39"/>
      <c r="DF341" s="41"/>
      <c r="DG341" s="41"/>
      <c r="DH341" s="41"/>
      <c r="DI341" s="42"/>
      <c r="DJ341" s="43">
        <v>0.2</v>
      </c>
      <c r="DK341" s="43">
        <v>0.25</v>
      </c>
      <c r="DS341" s="30" t="s">
        <v>726</v>
      </c>
      <c r="DT341" s="30">
        <v>0.9</v>
      </c>
      <c r="DU341" s="71">
        <f t="shared" si="350"/>
        <v>18.900000000000002</v>
      </c>
      <c r="DV341" s="71">
        <f t="shared" si="351"/>
        <v>22.5</v>
      </c>
      <c r="DW341" s="30">
        <v>40</v>
      </c>
      <c r="DX341" s="30">
        <v>0.99</v>
      </c>
      <c r="DY341" s="71">
        <f t="shared" si="352"/>
        <v>39.6</v>
      </c>
      <c r="DZ341" s="30">
        <v>0.02</v>
      </c>
      <c r="EA341" s="169">
        <f t="shared" si="353"/>
        <v>1.2445714285714284</v>
      </c>
      <c r="EB341" s="169">
        <f t="shared" si="354"/>
        <v>385.81714285714281</v>
      </c>
      <c r="EC341" s="169">
        <f t="shared" si="355"/>
        <v>370.88228571428567</v>
      </c>
      <c r="ED341" s="170">
        <f t="shared" si="356"/>
        <v>404.71714285714279</v>
      </c>
      <c r="EE341" s="170">
        <f t="shared" si="356"/>
        <v>393.38228571428567</v>
      </c>
      <c r="EF341" s="42" t="s">
        <v>688</v>
      </c>
      <c r="EG341" s="30" t="s">
        <v>693</v>
      </c>
    </row>
    <row r="342" spans="17:137" s="30" customFormat="1" ht="28.15" thickBot="1">
      <c r="Q342" s="120" t="s">
        <v>727</v>
      </c>
      <c r="S342" s="143">
        <v>1.37</v>
      </c>
      <c r="T342" s="143">
        <v>30</v>
      </c>
      <c r="U342" s="146">
        <f t="shared" si="362"/>
        <v>0</v>
      </c>
      <c r="V342" s="146">
        <f t="shared" si="362"/>
        <v>0</v>
      </c>
      <c r="W342" s="146">
        <f t="shared" si="362"/>
        <v>0.11786892857142858</v>
      </c>
      <c r="X342" s="145">
        <f t="shared" si="362"/>
        <v>0.47147571428571433</v>
      </c>
      <c r="Y342" s="146">
        <f t="shared" si="362"/>
        <v>0.11786892857142858</v>
      </c>
      <c r="Z342" s="146">
        <f t="shared" si="362"/>
        <v>0</v>
      </c>
      <c r="AA342" s="146">
        <f t="shared" si="362"/>
        <v>0.23573785714285717</v>
      </c>
      <c r="AB342" s="149">
        <f t="shared" si="362"/>
        <v>1.6501650000000003</v>
      </c>
      <c r="AC342" s="146">
        <f t="shared" si="362"/>
        <v>1.6501650000000003</v>
      </c>
      <c r="AD342" s="146">
        <f t="shared" si="362"/>
        <v>0</v>
      </c>
      <c r="AE342" s="146">
        <f t="shared" si="362"/>
        <v>0</v>
      </c>
      <c r="AF342" s="146">
        <f t="shared" si="362"/>
        <v>0.14144271428571431</v>
      </c>
      <c r="AG342" s="146">
        <f t="shared" si="362"/>
        <v>0</v>
      </c>
      <c r="AH342" s="146">
        <f t="shared" si="362"/>
        <v>2.3573785714285718</v>
      </c>
      <c r="AI342" s="146">
        <v>0</v>
      </c>
      <c r="AJ342" s="153">
        <f t="shared" si="362"/>
        <v>0.23573785714285717</v>
      </c>
      <c r="AK342" s="146">
        <f t="shared" si="362"/>
        <v>0.23573785714285717</v>
      </c>
      <c r="AL342" s="156">
        <f t="shared" si="340"/>
        <v>0.42432814285714299</v>
      </c>
      <c r="AM342" s="29">
        <v>1.2</v>
      </c>
      <c r="AN342" s="31">
        <v>0</v>
      </c>
      <c r="AP342" s="31">
        <v>0</v>
      </c>
      <c r="AQ342" s="158">
        <v>0.3</v>
      </c>
      <c r="AR342" s="157">
        <v>0.94</v>
      </c>
      <c r="AS342" s="159">
        <v>0.94</v>
      </c>
      <c r="AT342" s="159">
        <v>0.26</v>
      </c>
      <c r="AU342" s="161">
        <f>(AS342*365)*(AT342*0.67*0.02*1)</f>
        <v>1.1953604</v>
      </c>
      <c r="AV342" s="161">
        <f>(AS342*365)*(AT342*0.67*0.01*1)</f>
        <v>0.59768019999999999</v>
      </c>
      <c r="AW342" s="163"/>
      <c r="AX342" s="161">
        <f>(AS342*365)*(AT342*0.67*0.05*1)</f>
        <v>2.9884010000000001</v>
      </c>
      <c r="AY342" s="161">
        <f>(AS342*365)*(AT342*0.67*0.02*1)</f>
        <v>1.1953604</v>
      </c>
      <c r="AZ342" s="162">
        <f>(AR342*365)*(AS342*0.67*0.8*1)</f>
        <v>172.867504</v>
      </c>
      <c r="BA342" s="161">
        <f>(AS342*365)*(AT342*0.67*0.8*1)</f>
        <v>47.814416000000001</v>
      </c>
      <c r="BB342" s="161">
        <f>(AS342*365)*(AT342*0.67*0.8*1)</f>
        <v>47.814416000000001</v>
      </c>
      <c r="BC342" s="161">
        <f>(AS342*365)*(AT342*0.67*0.3*1)</f>
        <v>17.930406000000001</v>
      </c>
      <c r="BD342" s="163"/>
      <c r="BE342" s="161">
        <f>(AS342*365)*(AT342*0.67*0.8*1)</f>
        <v>47.814416000000001</v>
      </c>
      <c r="BF342" s="161">
        <f t="shared" si="341"/>
        <v>59.76802</v>
      </c>
      <c r="BG342" s="162">
        <f t="shared" si="342"/>
        <v>21.608438</v>
      </c>
      <c r="BH342" s="161">
        <f t="shared" si="342"/>
        <v>5.9768020000000002</v>
      </c>
      <c r="BI342" s="161">
        <f t="shared" si="343"/>
        <v>0.2988401</v>
      </c>
      <c r="BJ342" s="161">
        <f>(AS342*365)*(AT342*0.67*0.015*1)</f>
        <v>0.89652030000000005</v>
      </c>
      <c r="BK342" s="161">
        <v>0</v>
      </c>
      <c r="BL342" s="161">
        <v>0</v>
      </c>
      <c r="BM342" s="161">
        <f>(BA342*365)*(BB342*0.67*0.8*1)</f>
        <v>447275.76335865544</v>
      </c>
      <c r="BN342" s="161">
        <f t="shared" si="363"/>
        <v>559094.70419831923</v>
      </c>
      <c r="BO342" s="162">
        <f t="shared" si="364"/>
        <v>202134.23921016158</v>
      </c>
      <c r="BP342" s="161">
        <f t="shared" si="364"/>
        <v>55909.47041983193</v>
      </c>
      <c r="BQ342" s="161">
        <f>(BA342*365)*(BB342*0.67*0.015*1)</f>
        <v>8386.4205629747885</v>
      </c>
      <c r="BR342" s="161">
        <v>0</v>
      </c>
      <c r="BS342" s="161">
        <v>0</v>
      </c>
      <c r="BT342" s="160">
        <f t="shared" si="346"/>
        <v>26.797911275000001</v>
      </c>
      <c r="BU342" s="161"/>
      <c r="BV342" s="162"/>
      <c r="BW342" s="161"/>
      <c r="BX342" s="161"/>
      <c r="BY342" s="161"/>
      <c r="BZ342" s="161"/>
      <c r="CA342" s="160"/>
      <c r="CC342" s="110"/>
      <c r="CD342" s="111" t="str">
        <f t="shared" si="347"/>
        <v>Mulas y Asnos - Clima Cálido</v>
      </c>
      <c r="CE342" s="92" t="s">
        <v>688</v>
      </c>
      <c r="CF342" s="165">
        <f t="shared" si="349"/>
        <v>26.797911275000001</v>
      </c>
      <c r="CG342" s="92" t="s">
        <v>636</v>
      </c>
      <c r="CH342" s="98">
        <v>0.2</v>
      </c>
      <c r="CI342" s="98">
        <v>0.5</v>
      </c>
      <c r="CJ342" s="97" t="s">
        <v>442</v>
      </c>
      <c r="CK342" s="165">
        <f t="shared" si="348"/>
        <v>0.42432814285714299</v>
      </c>
      <c r="CL342" s="92" t="s">
        <v>689</v>
      </c>
      <c r="CM342" s="98">
        <v>0.2</v>
      </c>
      <c r="CN342" s="98">
        <v>0.5</v>
      </c>
      <c r="CO342" s="97" t="s">
        <v>442</v>
      </c>
      <c r="CP342" s="166"/>
      <c r="CQ342" s="96">
        <v>29.75</v>
      </c>
      <c r="CR342" s="92" t="s">
        <v>632</v>
      </c>
      <c r="CS342" s="166"/>
      <c r="CT342" s="96">
        <v>370.88228571428601</v>
      </c>
      <c r="CU342" s="92" t="s">
        <v>632</v>
      </c>
      <c r="CV342" s="39"/>
      <c r="CW342" s="41"/>
      <c r="CX342" s="39"/>
      <c r="CY342" s="39"/>
      <c r="CZ342" s="41"/>
      <c r="DA342" s="41"/>
      <c r="DB342" s="41"/>
      <c r="DC342" s="41"/>
      <c r="DD342" s="39"/>
      <c r="DE342" s="39"/>
      <c r="DF342" s="41"/>
      <c r="DG342" s="41"/>
      <c r="DH342" s="41"/>
      <c r="DI342" s="42"/>
      <c r="DJ342" s="43">
        <v>0.2</v>
      </c>
      <c r="DK342" s="43">
        <v>0.25</v>
      </c>
      <c r="DS342" s="30" t="s">
        <v>727</v>
      </c>
      <c r="DT342" s="30">
        <v>1.19</v>
      </c>
      <c r="DU342" s="71">
        <f t="shared" si="350"/>
        <v>24.99</v>
      </c>
      <c r="DV342" s="71">
        <f t="shared" si="351"/>
        <v>29.75</v>
      </c>
      <c r="DW342" s="30">
        <v>40</v>
      </c>
      <c r="DX342" s="30">
        <v>0.99</v>
      </c>
      <c r="DY342" s="71">
        <f t="shared" si="352"/>
        <v>39.6</v>
      </c>
      <c r="DZ342" s="30">
        <v>0.02</v>
      </c>
      <c r="EA342" s="169">
        <f t="shared" si="353"/>
        <v>1.2445714285714284</v>
      </c>
      <c r="EB342" s="169">
        <f t="shared" si="354"/>
        <v>385.81714285714281</v>
      </c>
      <c r="EC342" s="169">
        <f t="shared" si="355"/>
        <v>370.88228571428567</v>
      </c>
      <c r="ED342" s="170">
        <f t="shared" si="356"/>
        <v>410.80714285714282</v>
      </c>
      <c r="EE342" s="170">
        <f t="shared" si="356"/>
        <v>400.63228571428567</v>
      </c>
      <c r="EF342" s="42" t="s">
        <v>688</v>
      </c>
      <c r="EG342" s="30" t="s">
        <v>693</v>
      </c>
    </row>
    <row r="343" spans="17:137" s="30" customFormat="1">
      <c r="Q343" s="120" t="s">
        <v>728</v>
      </c>
      <c r="S343" s="143">
        <v>1.37</v>
      </c>
      <c r="T343" s="143">
        <v>30</v>
      </c>
      <c r="U343" s="146">
        <f t="shared" si="362"/>
        <v>0</v>
      </c>
      <c r="V343" s="146">
        <f t="shared" si="362"/>
        <v>0</v>
      </c>
      <c r="W343" s="146">
        <f t="shared" si="362"/>
        <v>0.11786892857142858</v>
      </c>
      <c r="X343" s="145">
        <f t="shared" si="362"/>
        <v>0.47147571428571433</v>
      </c>
      <c r="Y343" s="146">
        <f t="shared" si="362"/>
        <v>0.11786892857142858</v>
      </c>
      <c r="Z343" s="146">
        <f t="shared" si="362"/>
        <v>0</v>
      </c>
      <c r="AA343" s="146">
        <f t="shared" si="362"/>
        <v>0.23573785714285717</v>
      </c>
      <c r="AB343" s="149">
        <f t="shared" si="362"/>
        <v>1.6501650000000003</v>
      </c>
      <c r="AC343" s="146">
        <f t="shared" si="362"/>
        <v>1.6501650000000003</v>
      </c>
      <c r="AD343" s="146">
        <f t="shared" si="362"/>
        <v>0</v>
      </c>
      <c r="AE343" s="146">
        <f t="shared" si="362"/>
        <v>0</v>
      </c>
      <c r="AF343" s="146">
        <f t="shared" si="362"/>
        <v>0.14144271428571431</v>
      </c>
      <c r="AG343" s="146">
        <f t="shared" si="362"/>
        <v>0</v>
      </c>
      <c r="AH343" s="146">
        <f t="shared" si="362"/>
        <v>2.3573785714285718</v>
      </c>
      <c r="AI343" s="146">
        <v>0</v>
      </c>
      <c r="AJ343" s="153">
        <f t="shared" si="362"/>
        <v>0.23573785714285717</v>
      </c>
      <c r="AK343" s="146">
        <f t="shared" si="362"/>
        <v>0.23573785714285717</v>
      </c>
      <c r="AL343" s="156">
        <f t="shared" si="340"/>
        <v>0.42432814285714299</v>
      </c>
      <c r="AM343" s="29">
        <v>0.08</v>
      </c>
      <c r="AN343" s="31"/>
      <c r="AO343" s="31"/>
      <c r="AP343" s="31"/>
      <c r="AQ343" s="31"/>
      <c r="AR343" s="157">
        <v>0.1</v>
      </c>
      <c r="AS343" s="159">
        <v>0.1</v>
      </c>
      <c r="AT343" s="159">
        <v>0.32</v>
      </c>
      <c r="AU343" s="161">
        <f>(AS343*365)*(AT343*0.67*0.01*1)</f>
        <v>7.8256000000000006E-2</v>
      </c>
      <c r="AV343" s="161">
        <f>(AS343*365)*(AT343*0.67*0.001*1)</f>
        <v>7.8256000000000003E-3</v>
      </c>
      <c r="AW343" s="163"/>
      <c r="AX343" s="161">
        <f>(AS343*365)*(AT343*0.67*0.02*1)</f>
        <v>0.15651200000000001</v>
      </c>
      <c r="AY343" s="161">
        <f>(AS343*365)*(AT343*0.67*0.01*1)</f>
        <v>7.8256000000000006E-2</v>
      </c>
      <c r="AZ343" s="162">
        <f>(AR343*365)*(AS343*0.67*0.25*1)</f>
        <v>0.611375</v>
      </c>
      <c r="BA343" s="161">
        <f>(AS343*365)*(AT343*0.67*0.25*1)</f>
        <v>1.9564000000000001</v>
      </c>
      <c r="BB343" s="161">
        <f>(AS343*365)*(AT343*0.67*0.73*1)</f>
        <v>5.7126880000000009</v>
      </c>
      <c r="BC343" s="161">
        <f>(AS343*365)*(AT343*0.67*0.03*1)</f>
        <v>0.234768</v>
      </c>
      <c r="BD343" s="163"/>
      <c r="BE343" s="161">
        <f>(AS343*365)*(AT343*0.67*0.25*1)</f>
        <v>1.9564000000000001</v>
      </c>
      <c r="BF343" s="161">
        <f t="shared" si="341"/>
        <v>7.8256000000000006</v>
      </c>
      <c r="BG343" s="162">
        <f t="shared" si="342"/>
        <v>0.24455000000000005</v>
      </c>
      <c r="BH343" s="161">
        <f t="shared" si="342"/>
        <v>0.78256000000000003</v>
      </c>
      <c r="BI343" s="161">
        <f t="shared" si="343"/>
        <v>3.9128000000000003E-2</v>
      </c>
      <c r="BJ343" s="161">
        <f>(AS343*365)*(AT343*0.67*0.005*1)</f>
        <v>3.9128000000000003E-2</v>
      </c>
      <c r="BK343" s="161">
        <v>0</v>
      </c>
      <c r="BL343" s="161">
        <v>0</v>
      </c>
      <c r="BM343" s="161">
        <f>(BA343*365)*(BB343*0.67*0.25*1)</f>
        <v>683.29121263064019</v>
      </c>
      <c r="BN343" s="161">
        <f t="shared" si="363"/>
        <v>2733.1648505225608</v>
      </c>
      <c r="BO343" s="162">
        <f t="shared" si="364"/>
        <v>29.250479992750005</v>
      </c>
      <c r="BP343" s="161">
        <f t="shared" si="364"/>
        <v>273.3164850522561</v>
      </c>
      <c r="BQ343" s="161">
        <f>(BA343*365)*(BB343*0.67*0.005*1)</f>
        <v>13.665824252612806</v>
      </c>
      <c r="BR343" s="161">
        <v>0</v>
      </c>
      <c r="BS343" s="161">
        <v>0</v>
      </c>
      <c r="BT343" s="160">
        <f t="shared" si="346"/>
        <v>1.2327154125000004</v>
      </c>
      <c r="BU343" s="161"/>
      <c r="BV343" s="162"/>
      <c r="BW343" s="161"/>
      <c r="BX343" s="161"/>
      <c r="BY343" s="161"/>
      <c r="BZ343" s="161"/>
      <c r="CA343" s="160"/>
      <c r="CC343" s="38"/>
      <c r="CD343" s="29"/>
      <c r="CE343" s="39"/>
      <c r="CF343" s="39"/>
      <c r="CG343" s="39"/>
      <c r="CH343" s="40"/>
      <c r="CI343" s="40"/>
      <c r="CJ343" s="40"/>
      <c r="CK343" s="166"/>
      <c r="CL343" s="166"/>
      <c r="CM343" s="166"/>
      <c r="CN343" s="166"/>
      <c r="CO343" s="166"/>
      <c r="CP343" s="166"/>
      <c r="CQ343" s="39"/>
      <c r="CR343" s="166"/>
      <c r="CS343" s="166"/>
      <c r="CT343" s="39"/>
      <c r="CU343" s="39"/>
      <c r="CV343" s="39"/>
      <c r="CW343" s="41"/>
      <c r="CX343" s="39"/>
      <c r="CY343" s="39"/>
      <c r="CZ343" s="41"/>
      <c r="DA343" s="41"/>
      <c r="DB343" s="41"/>
      <c r="DC343" s="41"/>
      <c r="DD343" s="39"/>
      <c r="DE343" s="39"/>
      <c r="DF343" s="41"/>
      <c r="DG343" s="41"/>
      <c r="DH343" s="41"/>
      <c r="DI343" s="42"/>
      <c r="DJ343" s="43"/>
      <c r="DK343" s="43">
        <f t="shared" si="337"/>
        <v>0</v>
      </c>
      <c r="DU343" s="42"/>
      <c r="DV343" s="141"/>
      <c r="DW343" s="42"/>
      <c r="DX343" s="42"/>
      <c r="DY343" s="42"/>
      <c r="DZ343" s="42"/>
      <c r="EA343" s="42"/>
      <c r="EG343" s="30" t="s">
        <v>693</v>
      </c>
    </row>
    <row r="344" spans="17:137" s="30" customFormat="1">
      <c r="Q344" s="120" t="s">
        <v>729</v>
      </c>
      <c r="S344" s="143">
        <v>1.37</v>
      </c>
      <c r="T344" s="143">
        <v>30</v>
      </c>
      <c r="U344" s="146">
        <f t="shared" si="362"/>
        <v>0</v>
      </c>
      <c r="V344" s="146">
        <f t="shared" si="362"/>
        <v>0</v>
      </c>
      <c r="W344" s="146">
        <f t="shared" si="362"/>
        <v>0.11786892857142858</v>
      </c>
      <c r="X344" s="145">
        <f t="shared" si="362"/>
        <v>0.47147571428571433</v>
      </c>
      <c r="Y344" s="146">
        <f t="shared" si="362"/>
        <v>0.11786892857142858</v>
      </c>
      <c r="Z344" s="146">
        <f t="shared" si="362"/>
        <v>0</v>
      </c>
      <c r="AA344" s="146">
        <f t="shared" si="362"/>
        <v>0.23573785714285717</v>
      </c>
      <c r="AB344" s="149">
        <f t="shared" si="362"/>
        <v>1.6501650000000003</v>
      </c>
      <c r="AC344" s="146">
        <f t="shared" si="362"/>
        <v>1.6501650000000003</v>
      </c>
      <c r="AD344" s="146">
        <f t="shared" si="362"/>
        <v>0</v>
      </c>
      <c r="AE344" s="146">
        <f t="shared" si="362"/>
        <v>0</v>
      </c>
      <c r="AF344" s="146">
        <f t="shared" si="362"/>
        <v>0.14144271428571431</v>
      </c>
      <c r="AG344" s="146">
        <f t="shared" si="362"/>
        <v>0</v>
      </c>
      <c r="AH344" s="146">
        <f t="shared" si="362"/>
        <v>2.3573785714285718</v>
      </c>
      <c r="AI344" s="146">
        <v>0</v>
      </c>
      <c r="AJ344" s="153">
        <f t="shared" si="362"/>
        <v>0.23573785714285717</v>
      </c>
      <c r="AK344" s="146">
        <f t="shared" si="362"/>
        <v>0.23573785714285717</v>
      </c>
      <c r="AL344" s="156">
        <f t="shared" si="340"/>
        <v>0.42432814285714299</v>
      </c>
      <c r="AR344" s="157">
        <v>0.1</v>
      </c>
      <c r="AS344" s="159">
        <v>0.1</v>
      </c>
      <c r="AT344" s="159">
        <v>0.32</v>
      </c>
      <c r="AU344" s="161">
        <f>(AS344*365)*(AT344*0.67*0.015*1)</f>
        <v>0.117384</v>
      </c>
      <c r="AV344" s="161">
        <f>(AS344*365)*(AT344*0.67*0.005*1)</f>
        <v>3.9128000000000003E-2</v>
      </c>
      <c r="AW344" s="163"/>
      <c r="AX344" s="161">
        <f>(AS344*365)*(AT344*0.67*0.04*1)</f>
        <v>0.31302400000000002</v>
      </c>
      <c r="AY344" s="161">
        <f>(AS344*365)*(AT344*0.67*0.015*1)</f>
        <v>0.117384</v>
      </c>
      <c r="AZ344" s="162">
        <f>(AR344*365)*(AS344*0.67*0.65*1)</f>
        <v>1.5895750000000002</v>
      </c>
      <c r="BA344" s="161">
        <f>(AS344*365)*(AT344*0.67*0.65*1)</f>
        <v>5.0866400000000001</v>
      </c>
      <c r="BB344" s="161">
        <f>(AS344*365)*(AT344*0.67*0.79*1)</f>
        <v>6.1822240000000006</v>
      </c>
      <c r="BC344" s="161">
        <f>(AS344*365)*(AT344*0.67*0.03*1)</f>
        <v>0.234768</v>
      </c>
      <c r="BD344" s="163"/>
      <c r="BE344" s="161">
        <f>(AS344*365)*(AT344*0.67*0.65*1)</f>
        <v>5.0866400000000001</v>
      </c>
      <c r="BF344" s="161">
        <f t="shared" si="341"/>
        <v>7.8256000000000006</v>
      </c>
      <c r="BG344" s="162">
        <f t="shared" si="342"/>
        <v>0.24455000000000005</v>
      </c>
      <c r="BH344" s="161">
        <f t="shared" si="342"/>
        <v>0.78256000000000003</v>
      </c>
      <c r="BI344" s="161">
        <f t="shared" si="343"/>
        <v>3.9128000000000003E-2</v>
      </c>
      <c r="BJ344" s="161">
        <f>(AS344*365)*(AT344*0.67*0.01*1)</f>
        <v>7.8256000000000006E-2</v>
      </c>
      <c r="BK344" s="161">
        <v>0</v>
      </c>
      <c r="BL344" s="161">
        <v>0</v>
      </c>
      <c r="BM344" s="161">
        <f>(BA344*365)*(BB344*0.67*0.65*1)</f>
        <v>4998.6964273050289</v>
      </c>
      <c r="BN344" s="161">
        <f t="shared" si="363"/>
        <v>7690.3021958538902</v>
      </c>
      <c r="BO344" s="162">
        <f t="shared" si="364"/>
        <v>197.73324475099005</v>
      </c>
      <c r="BP344" s="161">
        <f t="shared" si="364"/>
        <v>769.03021958538909</v>
      </c>
      <c r="BQ344" s="161">
        <f>(BA344*365)*(BB344*0.67*0.01*1)</f>
        <v>76.903021958538901</v>
      </c>
      <c r="BR344" s="161">
        <v>0</v>
      </c>
      <c r="BS344" s="161">
        <v>0</v>
      </c>
      <c r="BT344" s="160">
        <f t="shared" si="346"/>
        <v>1.7335538125000003</v>
      </c>
      <c r="BU344" s="161"/>
      <c r="BV344" s="162"/>
      <c r="BW344" s="161"/>
      <c r="BX344" s="161"/>
      <c r="BY344" s="161"/>
      <c r="BZ344" s="161"/>
      <c r="CA344" s="160"/>
      <c r="CC344" s="91"/>
      <c r="CD344" s="29"/>
      <c r="CE344" s="39"/>
      <c r="CF344" s="39"/>
      <c r="CG344" s="39"/>
      <c r="CH344" s="40"/>
      <c r="CI344" s="40"/>
      <c r="CJ344" s="40"/>
      <c r="CK344" s="166"/>
      <c r="CL344" s="166"/>
      <c r="CM344" s="166"/>
      <c r="CN344" s="166"/>
      <c r="CO344" s="166"/>
      <c r="CP344" s="166"/>
      <c r="CQ344" s="39"/>
      <c r="CR344" s="166"/>
      <c r="CS344" s="166"/>
      <c r="CT344" s="39"/>
      <c r="CU344" s="39"/>
      <c r="CV344" s="39"/>
      <c r="CW344" s="41"/>
      <c r="CX344" s="39"/>
      <c r="CY344" s="39"/>
      <c r="CZ344" s="41"/>
      <c r="DA344" s="41"/>
      <c r="DB344" s="41"/>
      <c r="DC344" s="41"/>
      <c r="DD344" s="39"/>
      <c r="DE344" s="39"/>
      <c r="DF344" s="41"/>
      <c r="DG344" s="41"/>
      <c r="DH344" s="41"/>
      <c r="DI344" s="42"/>
      <c r="DJ344" s="43"/>
      <c r="DK344" s="43">
        <f t="shared" si="337"/>
        <v>0</v>
      </c>
      <c r="DU344" s="42" t="s">
        <v>730</v>
      </c>
      <c r="DW344" s="42" t="s">
        <v>731</v>
      </c>
      <c r="DX344" s="42" t="s">
        <v>732</v>
      </c>
      <c r="DY344" s="42"/>
      <c r="DZ344" s="42"/>
      <c r="EA344" s="42"/>
      <c r="EB344" s="42" t="s">
        <v>733</v>
      </c>
      <c r="EC344" s="42" t="s">
        <v>649</v>
      </c>
      <c r="ED344" s="42" t="s">
        <v>734</v>
      </c>
      <c r="EE344" s="42"/>
      <c r="EF344" s="42" t="s">
        <v>735</v>
      </c>
    </row>
    <row r="345" spans="17:137" s="30" customFormat="1" ht="14.65" thickBot="1">
      <c r="Q345" s="120" t="s">
        <v>736</v>
      </c>
      <c r="S345" s="143">
        <v>1.37</v>
      </c>
      <c r="T345" s="143">
        <v>30</v>
      </c>
      <c r="U345" s="146">
        <f t="shared" si="362"/>
        <v>0</v>
      </c>
      <c r="V345" s="146">
        <f t="shared" si="362"/>
        <v>0</v>
      </c>
      <c r="W345" s="146">
        <f t="shared" si="362"/>
        <v>0.11786892857142858</v>
      </c>
      <c r="X345" s="145">
        <f t="shared" si="362"/>
        <v>0.47147571428571433</v>
      </c>
      <c r="Y345" s="146">
        <f t="shared" si="362"/>
        <v>0.11786892857142858</v>
      </c>
      <c r="Z345" s="146">
        <f t="shared" si="362"/>
        <v>0</v>
      </c>
      <c r="AA345" s="146">
        <f t="shared" si="362"/>
        <v>0.23573785714285717</v>
      </c>
      <c r="AB345" s="149">
        <f t="shared" si="362"/>
        <v>1.6501650000000003</v>
      </c>
      <c r="AC345" s="146">
        <f t="shared" si="362"/>
        <v>1.6501650000000003</v>
      </c>
      <c r="AD345" s="146">
        <f t="shared" si="362"/>
        <v>0</v>
      </c>
      <c r="AE345" s="146">
        <f t="shared" si="362"/>
        <v>0</v>
      </c>
      <c r="AF345" s="146">
        <f t="shared" si="362"/>
        <v>0.14144271428571431</v>
      </c>
      <c r="AG345" s="146">
        <f t="shared" si="362"/>
        <v>0</v>
      </c>
      <c r="AH345" s="146">
        <f t="shared" si="362"/>
        <v>2.3573785714285718</v>
      </c>
      <c r="AI345" s="146">
        <v>0</v>
      </c>
      <c r="AJ345" s="153">
        <f t="shared" si="362"/>
        <v>0.23573785714285717</v>
      </c>
      <c r="AK345" s="146">
        <f t="shared" si="362"/>
        <v>0.23573785714285717</v>
      </c>
      <c r="AL345" s="156">
        <f t="shared" si="340"/>
        <v>0.42432814285714299</v>
      </c>
      <c r="AR345" s="157">
        <v>0.1</v>
      </c>
      <c r="AS345" s="159">
        <v>0.1</v>
      </c>
      <c r="AT345" s="159">
        <v>0.32</v>
      </c>
      <c r="AU345" s="161">
        <f>(AS345*365)*(AT345*0.67*0.02*1)</f>
        <v>0.15651200000000001</v>
      </c>
      <c r="AV345" s="161">
        <f>(AS345*365)*(AT345*0.67*0.01*1)</f>
        <v>7.8256000000000006E-2</v>
      </c>
      <c r="AW345" s="163"/>
      <c r="AX345" s="161">
        <f>(AS345*365)*(AT345*0.67*0.05*1)</f>
        <v>0.39128000000000002</v>
      </c>
      <c r="AY345" s="161">
        <f>(AS345*365)*(AT345*0.67*0.02*1)</f>
        <v>0.15651200000000001</v>
      </c>
      <c r="AZ345" s="162">
        <f>(AR345*365)*(AS345*0.67*0.8*1)</f>
        <v>1.9564000000000004</v>
      </c>
      <c r="BA345" s="161">
        <f>(AS345*365)*(AT345*0.67*0.8*1)</f>
        <v>6.2604800000000003</v>
      </c>
      <c r="BB345" s="161">
        <f>(AS345*365)*(AT345*0.67*0.8*1)</f>
        <v>6.2604800000000003</v>
      </c>
      <c r="BC345" s="161">
        <f>(AS345*365)*(AT345*0.67*0.3*1)</f>
        <v>2.34768</v>
      </c>
      <c r="BD345" s="163"/>
      <c r="BE345" s="161">
        <f>(AS345*365)*(AT345*0.67*0.8*1)</f>
        <v>6.2604800000000003</v>
      </c>
      <c r="BF345" s="161">
        <f t="shared" si="341"/>
        <v>7.8256000000000006</v>
      </c>
      <c r="BG345" s="162">
        <f t="shared" si="342"/>
        <v>0.24455000000000005</v>
      </c>
      <c r="BH345" s="161">
        <f t="shared" si="342"/>
        <v>0.78256000000000003</v>
      </c>
      <c r="BI345" s="161">
        <f t="shared" si="343"/>
        <v>3.9128000000000003E-2</v>
      </c>
      <c r="BJ345" s="161">
        <f>(AS345*365)*(AT345*0.67*0.015*1)</f>
        <v>0.117384</v>
      </c>
      <c r="BK345" s="161">
        <v>0</v>
      </c>
      <c r="BL345" s="161">
        <v>0</v>
      </c>
      <c r="BM345" s="161">
        <f>(BA345*365)*(BB345*0.67*0.8*1)</f>
        <v>7667.8378272194577</v>
      </c>
      <c r="BN345" s="161">
        <f t="shared" si="363"/>
        <v>9584.7972840243219</v>
      </c>
      <c r="BO345" s="162">
        <f t="shared" si="364"/>
        <v>299.52491512576012</v>
      </c>
      <c r="BP345" s="161">
        <f t="shared" si="364"/>
        <v>958.47972840243222</v>
      </c>
      <c r="BQ345" s="161">
        <f>(BA345*365)*(BB345*0.67*0.015*1)</f>
        <v>143.77195926036484</v>
      </c>
      <c r="BR345" s="161">
        <v>0</v>
      </c>
      <c r="BS345" s="161">
        <v>0</v>
      </c>
      <c r="BT345" s="160">
        <f t="shared" si="346"/>
        <v>2.054831375</v>
      </c>
      <c r="BU345" s="161"/>
      <c r="BV345" s="162"/>
      <c r="BW345" s="161"/>
      <c r="BX345" s="161"/>
      <c r="BY345" s="161"/>
      <c r="BZ345" s="161"/>
      <c r="CA345" s="160"/>
      <c r="CC345" s="91"/>
      <c r="CD345" s="29"/>
      <c r="CE345" s="39"/>
      <c r="CF345" s="39"/>
      <c r="CG345" s="39"/>
      <c r="CH345" s="40"/>
      <c r="CI345" s="40"/>
      <c r="CJ345" s="40"/>
      <c r="CK345" s="166"/>
      <c r="CL345" s="166"/>
      <c r="CM345" s="166"/>
      <c r="CN345" s="166"/>
      <c r="CO345" s="166"/>
      <c r="CP345" s="166"/>
      <c r="CQ345" s="39"/>
      <c r="CR345" s="166"/>
      <c r="CS345" s="166"/>
      <c r="CT345" s="39"/>
      <c r="CU345" s="39"/>
      <c r="CV345" s="39"/>
      <c r="CW345" s="41"/>
      <c r="CX345" s="39"/>
      <c r="CY345" s="39"/>
      <c r="CZ345" s="41"/>
      <c r="DA345" s="41"/>
      <c r="DB345" s="41"/>
      <c r="DC345" s="41"/>
      <c r="DD345" s="39"/>
      <c r="DE345" s="39"/>
      <c r="DF345" s="41"/>
      <c r="DG345" s="41"/>
      <c r="DH345" s="41"/>
      <c r="DI345" s="42"/>
      <c r="DJ345" s="43"/>
      <c r="DK345" s="43">
        <f t="shared" si="337"/>
        <v>0</v>
      </c>
      <c r="DS345" s="30" t="s">
        <v>737</v>
      </c>
      <c r="DT345" s="30" t="s">
        <v>330</v>
      </c>
      <c r="DU345" s="30">
        <f>+EF345</f>
        <v>6.1897500000000008E-2</v>
      </c>
      <c r="DW345" s="42">
        <v>1</v>
      </c>
      <c r="DX345" s="42">
        <v>0.9</v>
      </c>
      <c r="DY345" s="42"/>
      <c r="DZ345" s="42"/>
      <c r="EA345" s="42"/>
      <c r="EB345" s="42">
        <v>0.5</v>
      </c>
      <c r="EC345" s="42">
        <v>5.0000000000000001E-3</v>
      </c>
      <c r="ED345" s="42">
        <f>+DW345*DX345*EB345*EC345*21</f>
        <v>4.7250000000000007E-2</v>
      </c>
      <c r="EE345" s="42"/>
      <c r="EF345" s="30">
        <f>+ED345+EE356</f>
        <v>6.1897500000000008E-2</v>
      </c>
    </row>
    <row r="346" spans="17:137" s="30" customFormat="1" ht="15" customHeight="1">
      <c r="Q346" s="120" t="s">
        <v>738</v>
      </c>
      <c r="S346" s="143"/>
      <c r="T346" s="143"/>
      <c r="U346" s="142"/>
      <c r="V346" s="142"/>
      <c r="W346" s="142"/>
      <c r="X346" s="145"/>
      <c r="Y346" s="142"/>
      <c r="Z346" s="142"/>
      <c r="AA346" s="142"/>
      <c r="AB346" s="149"/>
      <c r="AC346" s="142"/>
      <c r="AD346" s="142"/>
      <c r="AE346" s="142"/>
      <c r="AF346" s="142"/>
      <c r="AG346" s="142"/>
      <c r="AH346" s="142"/>
      <c r="AI346" s="142"/>
      <c r="AJ346" s="153"/>
      <c r="AK346" s="142"/>
      <c r="AL346" s="143"/>
      <c r="AM346" s="29">
        <v>5.67</v>
      </c>
      <c r="AR346" s="157">
        <v>1.1599999999999999</v>
      </c>
      <c r="AS346" s="159">
        <v>1.1599999999999999</v>
      </c>
      <c r="AT346" s="159">
        <v>0.25</v>
      </c>
      <c r="AU346" s="161">
        <f>(AS346*365)*(AT346*0.67*0.01*1)</f>
        <v>0.70919500000000002</v>
      </c>
      <c r="AV346" s="161">
        <f>(AS346*365)*(AT346*0.67*0.001*1)</f>
        <v>7.0919499999999996E-2</v>
      </c>
      <c r="AW346" s="163"/>
      <c r="AX346" s="161">
        <f>(AS346*365)*(AT346*0.67*0.02*1)</f>
        <v>1.41839</v>
      </c>
      <c r="AY346" s="161">
        <f>(AS346*365)*(AT346*0.67*0.01*1)</f>
        <v>0.70919500000000002</v>
      </c>
      <c r="AZ346" s="162">
        <f>(AR346*365)*(AS346*0.67*0.25*1)</f>
        <v>82.266619999999989</v>
      </c>
      <c r="BA346" s="161">
        <f>(AS346*365)*(AT346*0.67*0.25*1)</f>
        <v>17.729875</v>
      </c>
      <c r="BB346" s="161">
        <f>(AS346*365)*(AT346*0.67*0.73*1)</f>
        <v>51.771235000000004</v>
      </c>
      <c r="BC346" s="161">
        <f>(AS346*365)*(AT346*0.67*0.03*1)</f>
        <v>2.1275849999999998</v>
      </c>
      <c r="BD346" s="163"/>
      <c r="BE346" s="161">
        <f>(AS346*365)*(AT346*0.67*0.25*1)</f>
        <v>17.729875</v>
      </c>
      <c r="BF346" s="161">
        <f t="shared" si="341"/>
        <v>70.919499999999999</v>
      </c>
      <c r="BG346" s="162">
        <f t="shared" si="342"/>
        <v>32.906648000000004</v>
      </c>
      <c r="BH346" s="161">
        <f t="shared" si="342"/>
        <v>7.0919499999999998</v>
      </c>
      <c r="BI346" s="161">
        <f t="shared" si="343"/>
        <v>0.35459750000000001</v>
      </c>
      <c r="BJ346" s="161">
        <f>(AS346*365)*(AT346*0.67*0.005*1)</f>
        <v>0.35459750000000001</v>
      </c>
      <c r="BK346" s="161">
        <v>0</v>
      </c>
      <c r="BL346" s="161">
        <v>0</v>
      </c>
      <c r="BM346" s="161">
        <f>(BA346*365)*(BB346*0.67*0.25*1)</f>
        <v>56117.959943590657</v>
      </c>
      <c r="BN346" s="161">
        <f t="shared" si="363"/>
        <v>224471.83977436263</v>
      </c>
      <c r="BO346" s="162">
        <f t="shared" si="364"/>
        <v>35669.497827158986</v>
      </c>
      <c r="BP346" s="161">
        <f t="shared" si="364"/>
        <v>22447.183977436267</v>
      </c>
      <c r="BQ346" s="161">
        <f>(BA346*365)*(BB346*0.67*0.005*1)</f>
        <v>1122.3591988718131</v>
      </c>
      <c r="BR346" s="161">
        <v>0</v>
      </c>
      <c r="BS346" s="161">
        <v>0</v>
      </c>
      <c r="BT346" s="160">
        <f t="shared" si="346"/>
        <v>17.885011406250001</v>
      </c>
      <c r="BU346" s="161"/>
      <c r="BV346" s="162"/>
      <c r="BW346" s="161"/>
      <c r="BX346" s="161"/>
      <c r="BY346" s="161"/>
      <c r="BZ346" s="161"/>
      <c r="CA346" s="160"/>
      <c r="CC346" s="91"/>
      <c r="CD346" s="710" t="s">
        <v>662</v>
      </c>
      <c r="CE346" s="85"/>
      <c r="CF346" s="710" t="s">
        <v>630</v>
      </c>
      <c r="CG346" s="85"/>
      <c r="CH346" s="710" t="s">
        <v>181</v>
      </c>
      <c r="CI346" s="710" t="s">
        <v>181</v>
      </c>
      <c r="CJ346" s="710" t="s">
        <v>182</v>
      </c>
      <c r="CK346" s="710" t="s">
        <v>739</v>
      </c>
      <c r="CL346" s="85"/>
      <c r="CM346" s="710" t="s">
        <v>181</v>
      </c>
      <c r="CN346" s="710" t="s">
        <v>181</v>
      </c>
      <c r="CO346" s="710" t="s">
        <v>182</v>
      </c>
      <c r="CP346" s="29"/>
      <c r="CQ346" s="39"/>
      <c r="CR346" s="166"/>
      <c r="CS346" s="166"/>
      <c r="CT346" s="39"/>
      <c r="CU346" s="39"/>
      <c r="CV346" s="39"/>
      <c r="CW346" s="41"/>
      <c r="CX346" s="39"/>
      <c r="CY346" s="39"/>
      <c r="CZ346" s="41"/>
      <c r="DA346" s="41"/>
      <c r="DB346" s="41"/>
      <c r="DC346" s="41"/>
      <c r="DD346" s="39"/>
      <c r="DE346" s="39"/>
      <c r="DF346" s="41"/>
      <c r="DG346" s="41"/>
      <c r="DH346" s="41"/>
      <c r="DI346" s="42"/>
      <c r="DJ346" s="43"/>
      <c r="DK346" s="43" t="str">
        <f t="shared" si="337"/>
        <v>Incertidumbre (+/- %)</v>
      </c>
      <c r="DX346" s="42"/>
      <c r="DY346" s="42"/>
      <c r="DZ346" s="42"/>
      <c r="EA346" s="42"/>
      <c r="EG346" s="42" t="s">
        <v>730</v>
      </c>
    </row>
    <row r="347" spans="17:137" s="30" customFormat="1" ht="14.65" thickBot="1">
      <c r="Q347" s="120" t="s">
        <v>740</v>
      </c>
      <c r="S347" s="143"/>
      <c r="T347" s="143"/>
      <c r="U347" s="142"/>
      <c r="V347" s="142"/>
      <c r="W347" s="142"/>
      <c r="X347" s="145"/>
      <c r="Y347" s="142"/>
      <c r="Z347" s="142"/>
      <c r="AA347" s="142"/>
      <c r="AB347" s="149"/>
      <c r="AC347" s="142"/>
      <c r="AD347" s="142"/>
      <c r="AE347" s="142"/>
      <c r="AF347" s="142"/>
      <c r="AG347" s="142"/>
      <c r="AH347" s="142"/>
      <c r="AI347" s="142"/>
      <c r="AJ347" s="153"/>
      <c r="AK347" s="142"/>
      <c r="AL347" s="143"/>
      <c r="AR347" s="157">
        <v>1.1599999999999999</v>
      </c>
      <c r="AS347" s="159">
        <v>1.1599999999999999</v>
      </c>
      <c r="AT347" s="159">
        <v>0.25</v>
      </c>
      <c r="AU347" s="161">
        <f>(AS347*365)*(AT347*0.67*0.015*1)</f>
        <v>1.0637924999999999</v>
      </c>
      <c r="AV347" s="161">
        <f>(AS347*365)*(AT347*0.67*0.005*1)</f>
        <v>0.35459750000000001</v>
      </c>
      <c r="AW347" s="163"/>
      <c r="AX347" s="161">
        <f>(AS347*365)*(AT347*0.67*0.04*1)</f>
        <v>2.8367800000000001</v>
      </c>
      <c r="AY347" s="161">
        <f>(AS347*365)*(AT347*0.67*0.015*1)</f>
        <v>1.0637924999999999</v>
      </c>
      <c r="AZ347" s="162">
        <f>(AR347*365)*(AS347*0.67*0.65*1)</f>
        <v>213.89321200000001</v>
      </c>
      <c r="BA347" s="161">
        <f>(AS347*365)*(AT347*0.67*0.65*1)</f>
        <v>46.097675000000002</v>
      </c>
      <c r="BB347" s="161">
        <f>(AS347*365)*(AT347*0.67*0.79*1)</f>
        <v>56.026405000000011</v>
      </c>
      <c r="BC347" s="161">
        <f>(AS347*365)*(AT347*0.67*0.03*1)</f>
        <v>2.1275849999999998</v>
      </c>
      <c r="BD347" s="163"/>
      <c r="BE347" s="161">
        <f>(AS347*365)*(AT347*0.67*0.65*1)</f>
        <v>46.097675000000002</v>
      </c>
      <c r="BF347" s="161">
        <f t="shared" si="341"/>
        <v>70.919499999999999</v>
      </c>
      <c r="BG347" s="162">
        <f t="shared" si="342"/>
        <v>32.906648000000004</v>
      </c>
      <c r="BH347" s="161">
        <f t="shared" si="342"/>
        <v>7.0919499999999998</v>
      </c>
      <c r="BI347" s="161">
        <f t="shared" si="343"/>
        <v>0.35459750000000001</v>
      </c>
      <c r="BJ347" s="161">
        <f>(AS347*365)*(AT347*0.67*0.01*1)</f>
        <v>0.70919500000000002</v>
      </c>
      <c r="BK347" s="161">
        <v>0</v>
      </c>
      <c r="BL347" s="161">
        <v>0</v>
      </c>
      <c r="BM347" s="161">
        <f>(BA347*365)*(BB347*0.67*0.65*1)</f>
        <v>410537.47025034466</v>
      </c>
      <c r="BN347" s="161">
        <f t="shared" si="363"/>
        <v>631596.10807745333</v>
      </c>
      <c r="BO347" s="162">
        <f t="shared" si="364"/>
        <v>241125.8053115948</v>
      </c>
      <c r="BP347" s="161">
        <f t="shared" si="364"/>
        <v>63159.610807745332</v>
      </c>
      <c r="BQ347" s="161">
        <f>(BA347*365)*(BB347*0.67*0.01*1)</f>
        <v>6315.9610807745339</v>
      </c>
      <c r="BR347" s="161">
        <v>0</v>
      </c>
      <c r="BS347" s="161">
        <v>0</v>
      </c>
      <c r="BT347" s="160">
        <f t="shared" si="346"/>
        <v>30.096462812500004</v>
      </c>
      <c r="BU347" s="161"/>
      <c r="BV347" s="162"/>
      <c r="BW347" s="161"/>
      <c r="BX347" s="161"/>
      <c r="BY347" s="161"/>
      <c r="BZ347" s="161"/>
      <c r="CA347" s="160"/>
      <c r="CC347" s="91"/>
      <c r="CD347" s="711"/>
      <c r="CE347" s="87" t="s">
        <v>193</v>
      </c>
      <c r="CF347" s="711"/>
      <c r="CG347" s="87" t="s">
        <v>194</v>
      </c>
      <c r="CH347" s="711"/>
      <c r="CI347" s="711"/>
      <c r="CJ347" s="711"/>
      <c r="CK347" s="711"/>
      <c r="CL347" s="87" t="s">
        <v>194</v>
      </c>
      <c r="CM347" s="711"/>
      <c r="CN347" s="711"/>
      <c r="CO347" s="711"/>
      <c r="CP347" s="29"/>
      <c r="CQ347" s="39"/>
      <c r="CR347" s="166"/>
      <c r="CS347" s="166"/>
      <c r="CT347" s="39"/>
      <c r="CU347" s="39"/>
      <c r="CV347" s="39"/>
      <c r="CW347" s="41"/>
      <c r="CX347" s="39"/>
      <c r="CY347" s="39"/>
      <c r="CZ347" s="41"/>
      <c r="DA347" s="41"/>
      <c r="DB347" s="41"/>
      <c r="DC347" s="41"/>
      <c r="DD347" s="39"/>
      <c r="DE347" s="39"/>
      <c r="DF347" s="41"/>
      <c r="DG347" s="41"/>
      <c r="DH347" s="41"/>
      <c r="DI347" s="42"/>
      <c r="DJ347" s="43"/>
      <c r="DK347" s="43">
        <f t="shared" si="337"/>
        <v>0</v>
      </c>
      <c r="DX347" s="42"/>
      <c r="DY347" s="42"/>
      <c r="DZ347" s="42"/>
      <c r="EA347" s="42"/>
      <c r="ED347" s="42">
        <f>+DW345*DX345*EB345*EC345*25</f>
        <v>5.6250000000000008E-2</v>
      </c>
      <c r="EF347" s="30">
        <f>+ED347+EE358</f>
        <v>7.0330500000000004E-2</v>
      </c>
    </row>
    <row r="348" spans="17:137" s="30" customFormat="1" ht="16.149999999999999" thickBot="1">
      <c r="Q348" s="120" t="s">
        <v>741</v>
      </c>
      <c r="S348" s="143"/>
      <c r="T348" s="143"/>
      <c r="U348" s="142"/>
      <c r="V348" s="142"/>
      <c r="W348" s="142"/>
      <c r="X348" s="145"/>
      <c r="Y348" s="142"/>
      <c r="Z348" s="142"/>
      <c r="AA348" s="142"/>
      <c r="AB348" s="149"/>
      <c r="AC348" s="142"/>
      <c r="AD348" s="142"/>
      <c r="AE348" s="142"/>
      <c r="AF348" s="142"/>
      <c r="AG348" s="142"/>
      <c r="AH348" s="142"/>
      <c r="AI348" s="142"/>
      <c r="AJ348" s="153"/>
      <c r="AK348" s="142"/>
      <c r="AL348" s="143"/>
      <c r="AR348" s="157">
        <v>1.1599999999999999</v>
      </c>
      <c r="AS348" s="159">
        <v>1.1599999999999999</v>
      </c>
      <c r="AT348" s="159">
        <v>0.25</v>
      </c>
      <c r="AU348" s="161">
        <f>(AS348*365)*(AT348*0.67*0.02*1)</f>
        <v>1.41839</v>
      </c>
      <c r="AV348" s="161">
        <f>(AS348*365)*(AT348*0.67*0.01*1)</f>
        <v>0.70919500000000002</v>
      </c>
      <c r="AW348" s="163"/>
      <c r="AX348" s="161">
        <f>(AS348*365)*(AT348*0.67*0.05*1)</f>
        <v>3.5459749999999999</v>
      </c>
      <c r="AY348" s="161">
        <f>(AS348*365)*(AT348*0.67*0.02*1)</f>
        <v>1.41839</v>
      </c>
      <c r="AZ348" s="162">
        <f>(AR348*365)*(AS348*0.67*0.8*1)</f>
        <v>263.25318400000003</v>
      </c>
      <c r="BA348" s="161">
        <f>(AS348*365)*(AT348*0.67*0.8*1)</f>
        <v>56.735599999999998</v>
      </c>
      <c r="BB348" s="161">
        <f>(AS348*365)*(AT348*0.67*0.8*1)</f>
        <v>56.735599999999998</v>
      </c>
      <c r="BC348" s="161">
        <f>(AS348*365)*(AT348*0.67*0.3*1)</f>
        <v>21.275849999999998</v>
      </c>
      <c r="BD348" s="163"/>
      <c r="BE348" s="161">
        <f>(AS348*365)*(AT348*0.67*0.8*1)</f>
        <v>56.735599999999998</v>
      </c>
      <c r="BF348" s="161">
        <f t="shared" si="341"/>
        <v>70.919499999999999</v>
      </c>
      <c r="BG348" s="162">
        <f t="shared" si="342"/>
        <v>32.906648000000004</v>
      </c>
      <c r="BH348" s="161">
        <f t="shared" si="342"/>
        <v>7.0919499999999998</v>
      </c>
      <c r="BI348" s="161">
        <f t="shared" si="343"/>
        <v>0.35459750000000001</v>
      </c>
      <c r="BJ348" s="161">
        <f>(AS348*365)*(AT348*0.67*0.015*1)</f>
        <v>1.0637924999999999</v>
      </c>
      <c r="BK348" s="161">
        <v>0</v>
      </c>
      <c r="BL348" s="161">
        <v>0</v>
      </c>
      <c r="BM348" s="161">
        <f>(BA348*365)*(BB348*0.67*0.8*1)</f>
        <v>629751.13405191049</v>
      </c>
      <c r="BN348" s="161">
        <f t="shared" si="363"/>
        <v>787188.91756488802</v>
      </c>
      <c r="BO348" s="162">
        <f t="shared" si="364"/>
        <v>365255.6577501081</v>
      </c>
      <c r="BP348" s="161">
        <f t="shared" si="364"/>
        <v>78718.891756488811</v>
      </c>
      <c r="BQ348" s="161">
        <f>(BA348*365)*(BB348*0.67*0.015*1)</f>
        <v>11807.83376347332</v>
      </c>
      <c r="BR348" s="161">
        <v>0</v>
      </c>
      <c r="BS348" s="161">
        <v>0</v>
      </c>
      <c r="BT348" s="160">
        <f t="shared" si="346"/>
        <v>35.885266999999992</v>
      </c>
      <c r="BU348" s="161"/>
      <c r="BV348" s="162"/>
      <c r="BW348" s="161"/>
      <c r="BX348" s="161"/>
      <c r="BY348" s="161"/>
      <c r="BZ348" s="161"/>
      <c r="CA348" s="160"/>
      <c r="CC348" s="91"/>
      <c r="CD348" s="111" t="s">
        <v>742</v>
      </c>
      <c r="CE348" s="92" t="s">
        <v>743</v>
      </c>
      <c r="CF348" s="96">
        <f>10/1000</f>
        <v>0.01</v>
      </c>
      <c r="CG348" s="92" t="s">
        <v>744</v>
      </c>
      <c r="CH348" s="98">
        <f>0.08/10</f>
        <v>8.0000000000000002E-3</v>
      </c>
      <c r="CI348" s="98">
        <f>20/10</f>
        <v>2</v>
      </c>
      <c r="CJ348" s="97" t="s">
        <v>442</v>
      </c>
      <c r="CK348" s="96">
        <f>0.6/1000</f>
        <v>5.9999999999999995E-4</v>
      </c>
      <c r="CL348" s="92" t="s">
        <v>745</v>
      </c>
      <c r="CM348" s="98">
        <f>0.2/0.6</f>
        <v>0.33333333333333337</v>
      </c>
      <c r="CN348" s="98">
        <f>1.2/0.6</f>
        <v>2</v>
      </c>
      <c r="CO348" s="97" t="s">
        <v>442</v>
      </c>
      <c r="CP348" s="29"/>
      <c r="CQ348" s="39"/>
      <c r="CR348" s="166"/>
      <c r="CS348" s="166"/>
      <c r="CT348" s="39"/>
      <c r="CU348" s="39"/>
      <c r="CV348" s="39"/>
      <c r="CW348" s="41"/>
      <c r="CX348" s="39"/>
      <c r="CY348" s="39"/>
      <c r="CZ348" s="41"/>
      <c r="DA348" s="41"/>
      <c r="DB348" s="41"/>
      <c r="DC348" s="41"/>
      <c r="DD348" s="39"/>
      <c r="DE348" s="39"/>
      <c r="DF348" s="41"/>
      <c r="DG348" s="41"/>
      <c r="DH348" s="41"/>
      <c r="DI348" s="42"/>
      <c r="DJ348" s="43">
        <v>0.9</v>
      </c>
      <c r="DK348" s="43">
        <f t="shared" si="337"/>
        <v>2</v>
      </c>
      <c r="DX348" s="42"/>
      <c r="DY348" s="42"/>
      <c r="DZ348" s="42"/>
      <c r="EA348" s="42"/>
      <c r="ED348" s="42"/>
    </row>
    <row r="349" spans="17:137" s="30" customFormat="1" ht="16.149999999999999" thickBot="1">
      <c r="X349" s="67"/>
      <c r="AB349" s="68"/>
      <c r="AJ349" s="74"/>
      <c r="AR349" s="74"/>
      <c r="AZ349" s="74"/>
      <c r="BG349" s="74"/>
      <c r="BK349" s="30">
        <v>0</v>
      </c>
      <c r="BO349" s="74"/>
      <c r="BR349" s="30">
        <v>0</v>
      </c>
      <c r="BV349" s="74"/>
      <c r="CC349" s="91"/>
      <c r="CD349" s="111" t="s">
        <v>746</v>
      </c>
      <c r="CE349" s="92" t="s">
        <v>573</v>
      </c>
      <c r="CF349" s="96">
        <f>4/1000</f>
        <v>4.0000000000000001E-3</v>
      </c>
      <c r="CG349" s="92" t="s">
        <v>744</v>
      </c>
      <c r="CH349" s="98">
        <f>0.03/4</f>
        <v>7.4999999999999997E-3</v>
      </c>
      <c r="CI349" s="98">
        <f>8/4</f>
        <v>2</v>
      </c>
      <c r="CJ349" s="97" t="s">
        <v>442</v>
      </c>
      <c r="CK349" s="96">
        <f>0.3/1000</f>
        <v>2.9999999999999997E-4</v>
      </c>
      <c r="CL349" s="92" t="s">
        <v>745</v>
      </c>
      <c r="CM349" s="98">
        <f>0.06/0.3</f>
        <v>0.2</v>
      </c>
      <c r="CN349" s="98">
        <f>0.6/0.3</f>
        <v>2</v>
      </c>
      <c r="CO349" s="97" t="s">
        <v>442</v>
      </c>
      <c r="CP349" s="29"/>
      <c r="CQ349" s="39"/>
      <c r="CR349" s="166"/>
      <c r="CS349" s="166"/>
      <c r="CT349" s="39"/>
      <c r="CU349" s="39"/>
      <c r="CV349" s="39"/>
      <c r="CW349" s="41"/>
      <c r="CX349" s="39"/>
      <c r="CY349" s="39"/>
      <c r="CZ349" s="41"/>
      <c r="DA349" s="41"/>
      <c r="DB349" s="41"/>
      <c r="DC349" s="41"/>
      <c r="DD349" s="39"/>
      <c r="DE349" s="39"/>
      <c r="DF349" s="41"/>
      <c r="DG349" s="41"/>
      <c r="DH349" s="41"/>
      <c r="DI349" s="42"/>
      <c r="DJ349" s="43">
        <v>0.9</v>
      </c>
      <c r="DK349" s="43">
        <f t="shared" si="337"/>
        <v>2</v>
      </c>
      <c r="DX349" s="42"/>
      <c r="DY349" s="42"/>
      <c r="DZ349" s="42"/>
      <c r="EA349" s="42"/>
      <c r="ED349" s="42"/>
    </row>
    <row r="350" spans="17:137" s="30" customFormat="1" ht="16.149999999999999" thickBot="1">
      <c r="X350" s="67"/>
      <c r="AB350" s="68"/>
      <c r="AJ350" s="74"/>
      <c r="AR350" s="74"/>
      <c r="AZ350" s="74"/>
      <c r="BG350" s="74"/>
      <c r="BN350" s="74"/>
      <c r="BV350" s="74"/>
      <c r="CC350" s="91"/>
      <c r="CD350" s="111" t="s">
        <v>747</v>
      </c>
      <c r="CE350" s="92" t="s">
        <v>743</v>
      </c>
      <c r="CF350" s="96">
        <f>2/1000</f>
        <v>2E-3</v>
      </c>
      <c r="CG350" s="92" t="s">
        <v>744</v>
      </c>
      <c r="CH350" s="98">
        <f>0/2</f>
        <v>0</v>
      </c>
      <c r="CI350" s="98">
        <f>20/2</f>
        <v>10</v>
      </c>
      <c r="CJ350" s="97" t="s">
        <v>442</v>
      </c>
      <c r="CK350" s="96">
        <v>0</v>
      </c>
      <c r="CL350" s="92" t="s">
        <v>745</v>
      </c>
      <c r="CM350" s="98">
        <v>0</v>
      </c>
      <c r="CN350" s="98">
        <v>0</v>
      </c>
      <c r="CO350" s="97" t="s">
        <v>442</v>
      </c>
      <c r="CP350" s="29"/>
      <c r="CQ350" s="39"/>
      <c r="CR350" s="166"/>
      <c r="CS350" s="166"/>
      <c r="CT350" s="39"/>
      <c r="CU350" s="39"/>
      <c r="CV350" s="39"/>
      <c r="CW350" s="41"/>
      <c r="CX350" s="39"/>
      <c r="CY350" s="39"/>
      <c r="CZ350" s="41"/>
      <c r="DA350" s="41"/>
      <c r="DB350" s="41"/>
      <c r="DC350" s="41"/>
      <c r="DD350" s="39"/>
      <c r="DE350" s="39"/>
      <c r="DF350" s="41"/>
      <c r="DG350" s="41"/>
      <c r="DH350" s="41"/>
      <c r="DI350" s="42"/>
      <c r="DJ350" s="43">
        <v>0.9</v>
      </c>
      <c r="DK350" s="43">
        <f t="shared" si="337"/>
        <v>10</v>
      </c>
      <c r="DX350" s="42"/>
      <c r="DY350" s="42"/>
      <c r="DZ350" s="42"/>
      <c r="EA350" s="42"/>
      <c r="ED350" s="42"/>
    </row>
    <row r="351" spans="17:137" s="30" customFormat="1" ht="28.15" thickBot="1">
      <c r="X351" s="67"/>
      <c r="AB351" s="68"/>
      <c r="AJ351" s="74"/>
      <c r="AR351" s="74"/>
      <c r="AZ351" s="74"/>
      <c r="BG351" s="74"/>
      <c r="BN351" s="74"/>
      <c r="BP351" s="31" t="s">
        <v>748</v>
      </c>
      <c r="BQ351" s="31" t="s">
        <v>749</v>
      </c>
      <c r="BR351" s="31" t="s">
        <v>750</v>
      </c>
      <c r="BS351" s="31"/>
      <c r="BV351" s="74"/>
      <c r="BX351" s="31"/>
      <c r="BY351" s="31"/>
      <c r="BZ351" s="31"/>
      <c r="CA351" s="31"/>
      <c r="CC351" s="91"/>
      <c r="CD351" s="111" t="s">
        <v>751</v>
      </c>
      <c r="CE351" s="92" t="s">
        <v>573</v>
      </c>
      <c r="CF351" s="96">
        <f>1/1000</f>
        <v>1E-3</v>
      </c>
      <c r="CG351" s="92" t="s">
        <v>744</v>
      </c>
      <c r="CH351" s="98">
        <f>0/2</f>
        <v>0</v>
      </c>
      <c r="CI351" s="98">
        <f>8/1</f>
        <v>8</v>
      </c>
      <c r="CJ351" s="97" t="s">
        <v>442</v>
      </c>
      <c r="CK351" s="96">
        <v>0</v>
      </c>
      <c r="CL351" s="92" t="s">
        <v>745</v>
      </c>
      <c r="CM351" s="98">
        <v>0</v>
      </c>
      <c r="CN351" s="98">
        <v>0</v>
      </c>
      <c r="CO351" s="97" t="s">
        <v>442</v>
      </c>
      <c r="CP351" s="29"/>
      <c r="CQ351" s="39"/>
      <c r="CR351" s="166"/>
      <c r="CS351" s="166"/>
      <c r="CT351" s="39"/>
      <c r="CU351" s="39"/>
      <c r="CV351" s="39"/>
      <c r="CW351" s="41"/>
      <c r="CX351" s="39"/>
      <c r="CY351" s="39"/>
      <c r="CZ351" s="41"/>
      <c r="DA351" s="41"/>
      <c r="DB351" s="41"/>
      <c r="DC351" s="41"/>
      <c r="DD351" s="39"/>
      <c r="DE351" s="39"/>
      <c r="DF351" s="41"/>
      <c r="DG351" s="41"/>
      <c r="DH351" s="41"/>
      <c r="DI351" s="42"/>
      <c r="DJ351" s="43">
        <v>0.9</v>
      </c>
      <c r="DK351" s="43">
        <f t="shared" si="337"/>
        <v>8</v>
      </c>
      <c r="DX351" s="42"/>
      <c r="DY351" s="42"/>
      <c r="DZ351" s="42"/>
      <c r="EA351" s="42"/>
      <c r="ED351" s="42"/>
    </row>
    <row r="352" spans="17:137" s="30" customFormat="1" ht="28.15" thickBot="1">
      <c r="X352" s="67"/>
      <c r="AB352" s="68"/>
      <c r="AJ352" s="74"/>
      <c r="AR352" s="74"/>
      <c r="AZ352" s="74"/>
      <c r="BG352" s="74"/>
      <c r="BN352" s="74"/>
      <c r="BP352" s="31">
        <v>50.4</v>
      </c>
      <c r="BQ352" s="31">
        <v>22</v>
      </c>
      <c r="BR352" s="31">
        <f>BQ352/((BP352*1000*1000)/(1000*1000))</f>
        <v>0.43650793650793651</v>
      </c>
      <c r="BS352" s="31"/>
      <c r="BV352" s="74"/>
      <c r="BX352" s="31"/>
      <c r="BY352" s="31"/>
      <c r="BZ352" s="31"/>
      <c r="CA352" s="31"/>
      <c r="CC352" s="91"/>
      <c r="CD352" s="111" t="s">
        <v>752</v>
      </c>
      <c r="CE352" s="92" t="s">
        <v>753</v>
      </c>
      <c r="CF352" s="96">
        <f>BR352*CA352</f>
        <v>0</v>
      </c>
      <c r="CG352" s="92" t="s">
        <v>754</v>
      </c>
      <c r="CH352" s="98">
        <f>0%/5%</f>
        <v>0</v>
      </c>
      <c r="CI352" s="98">
        <f>10%/5%</f>
        <v>2</v>
      </c>
      <c r="CJ352" s="97" t="s">
        <v>442</v>
      </c>
      <c r="CK352" s="96">
        <v>0</v>
      </c>
      <c r="CL352" s="92" t="s">
        <v>755</v>
      </c>
      <c r="CM352" s="98">
        <v>0</v>
      </c>
      <c r="CN352" s="98">
        <v>0</v>
      </c>
      <c r="CO352" s="97" t="s">
        <v>442</v>
      </c>
      <c r="CP352" s="29"/>
      <c r="CQ352" s="39"/>
      <c r="CR352" s="166"/>
      <c r="CS352" s="166"/>
      <c r="CT352" s="39"/>
      <c r="CU352" s="39"/>
      <c r="CV352" s="39"/>
      <c r="CW352" s="41"/>
      <c r="CX352" s="39"/>
      <c r="CY352" s="39"/>
      <c r="CZ352" s="41"/>
      <c r="DA352" s="41"/>
      <c r="DB352" s="41"/>
      <c r="DC352" s="41"/>
      <c r="DD352" s="39"/>
      <c r="DE352" s="39"/>
      <c r="DF352" s="41"/>
      <c r="DG352" s="41"/>
      <c r="DH352" s="41"/>
      <c r="DI352" s="42"/>
      <c r="DJ352" s="43"/>
      <c r="DK352" s="43">
        <f t="shared" si="337"/>
        <v>2</v>
      </c>
      <c r="DX352" s="42"/>
      <c r="DY352" s="42"/>
      <c r="DZ352" s="42"/>
      <c r="EA352" s="42"/>
      <c r="ED352" s="42"/>
    </row>
    <row r="353" spans="24:135" s="30" customFormat="1" ht="16.149999999999999" thickBot="1">
      <c r="X353" s="67"/>
      <c r="AB353" s="68"/>
      <c r="AJ353" s="74"/>
      <c r="AR353" s="74"/>
      <c r="AZ353" s="74"/>
      <c r="BG353" s="74"/>
      <c r="BN353" s="74"/>
      <c r="BV353" s="74"/>
      <c r="CC353" s="91"/>
      <c r="CD353" s="111" t="s">
        <v>756</v>
      </c>
      <c r="CE353" s="92" t="s">
        <v>330</v>
      </c>
      <c r="CF353" s="96">
        <f>(0.85*2.7)/1000</f>
        <v>2.2949999999999997E-3</v>
      </c>
      <c r="CG353" s="92" t="s">
        <v>744</v>
      </c>
      <c r="CH353" s="98">
        <f>0.9/2.7</f>
        <v>0.33333333333333331</v>
      </c>
      <c r="CI353" s="98">
        <f>0.9/2.7</f>
        <v>0.33333333333333331</v>
      </c>
      <c r="CJ353" s="97" t="s">
        <v>442</v>
      </c>
      <c r="CK353" s="96">
        <f>(0.85*0.007)/1000</f>
        <v>5.9499999999999998E-6</v>
      </c>
      <c r="CL353" s="92" t="s">
        <v>745</v>
      </c>
      <c r="CM353" s="98">
        <f>0.1/0.07</f>
        <v>1.4285714285714286</v>
      </c>
      <c r="CN353" s="98">
        <f>0.1/0.07</f>
        <v>1.4285714285714286</v>
      </c>
      <c r="CO353" s="97" t="s">
        <v>442</v>
      </c>
      <c r="CP353" s="29"/>
      <c r="CQ353" s="96">
        <f>1515/1000</f>
        <v>1.5149999999999999</v>
      </c>
      <c r="CR353" s="92" t="s">
        <v>361</v>
      </c>
      <c r="CS353" s="98">
        <f>177/1515</f>
        <v>0.11683168316831684</v>
      </c>
      <c r="CT353" s="98">
        <f>177/1515</f>
        <v>0.11683168316831684</v>
      </c>
      <c r="CU353" s="97" t="s">
        <v>442</v>
      </c>
      <c r="CV353" s="39"/>
      <c r="CW353" s="41"/>
      <c r="CX353" s="39"/>
      <c r="CY353" s="39"/>
      <c r="CZ353" s="41"/>
      <c r="DA353" s="41"/>
      <c r="DB353" s="41"/>
      <c r="DC353" s="41"/>
      <c r="DD353" s="39"/>
      <c r="DE353" s="39"/>
      <c r="DF353" s="41"/>
      <c r="DG353" s="41"/>
      <c r="DH353" s="41"/>
      <c r="DI353" s="42">
        <f>CQ353</f>
        <v>1.5149999999999999</v>
      </c>
      <c r="DJ353" s="43"/>
      <c r="DK353" s="43">
        <f t="shared" si="337"/>
        <v>0.33333333333333331</v>
      </c>
      <c r="DX353" s="42"/>
      <c r="DY353" s="42"/>
      <c r="DZ353" s="42"/>
      <c r="EA353" s="42"/>
      <c r="ED353" s="42"/>
    </row>
    <row r="354" spans="24:135" s="30" customFormat="1" ht="16.149999999999999" thickBot="1">
      <c r="X354" s="67"/>
      <c r="AB354" s="68"/>
      <c r="AJ354" s="74"/>
      <c r="AR354" s="74"/>
      <c r="AZ354" s="74"/>
      <c r="BG354" s="74"/>
      <c r="BN354" s="74"/>
      <c r="BV354" s="74"/>
      <c r="CC354" s="91"/>
      <c r="CD354" s="111" t="s">
        <v>757</v>
      </c>
      <c r="CE354" s="92" t="s">
        <v>330</v>
      </c>
      <c r="CF354" s="96">
        <f>(0.92*2.3)/1000</f>
        <v>2.1160000000000003E-3</v>
      </c>
      <c r="CG354" s="92" t="s">
        <v>744</v>
      </c>
      <c r="CH354" s="98">
        <f>0.9/2.3</f>
        <v>0.39130434782608697</v>
      </c>
      <c r="CI354" s="98">
        <f>0.9/2.3</f>
        <v>0.39130434782608697</v>
      </c>
      <c r="CJ354" s="97" t="s">
        <v>442</v>
      </c>
      <c r="CK354" s="96">
        <f>(0.92*0.21)/1000</f>
        <v>1.9320000000000001E-4</v>
      </c>
      <c r="CL354" s="92" t="s">
        <v>745</v>
      </c>
      <c r="CM354" s="98">
        <f>0.1/0.21</f>
        <v>0.47619047619047622</v>
      </c>
      <c r="CN354" s="98">
        <f>0.1/0.21</f>
        <v>0.47619047619047622</v>
      </c>
      <c r="CO354" s="97" t="s">
        <v>442</v>
      </c>
      <c r="CP354" s="29"/>
      <c r="CQ354" s="96">
        <f>1613/1000</f>
        <v>1.613</v>
      </c>
      <c r="CR354" s="92" t="s">
        <v>361</v>
      </c>
      <c r="CS354" s="98">
        <f>95/1613</f>
        <v>5.8896466212027279E-2</v>
      </c>
      <c r="CT354" s="98">
        <f>95/1613</f>
        <v>5.8896466212027279E-2</v>
      </c>
      <c r="CU354" s="97" t="s">
        <v>442</v>
      </c>
      <c r="CV354" s="39"/>
      <c r="CW354" s="41"/>
      <c r="CX354" s="39"/>
      <c r="CY354" s="39"/>
      <c r="CZ354" s="41"/>
      <c r="DA354" s="41"/>
      <c r="DB354" s="41"/>
      <c r="DC354" s="41"/>
      <c r="DD354" s="39"/>
      <c r="DE354" s="39"/>
      <c r="DF354" s="41"/>
      <c r="DG354" s="41"/>
      <c r="DH354" s="41"/>
      <c r="DI354" s="42">
        <f>CQ354</f>
        <v>1.613</v>
      </c>
      <c r="DJ354" s="43"/>
      <c r="DK354" s="43">
        <f t="shared" si="337"/>
        <v>0.39130434782608697</v>
      </c>
      <c r="DX354" s="42"/>
      <c r="DY354" s="42"/>
      <c r="DZ354" s="42"/>
      <c r="EA354" s="42"/>
      <c r="ED354" s="42"/>
    </row>
    <row r="355" spans="24:135" s="30" customFormat="1">
      <c r="X355" s="67"/>
      <c r="AB355" s="68"/>
      <c r="AJ355" s="74"/>
      <c r="AR355" s="74"/>
      <c r="AZ355" s="74"/>
      <c r="BG355" s="74"/>
      <c r="BN355" s="74"/>
      <c r="BV355" s="74"/>
      <c r="CC355" s="91"/>
      <c r="CD355" s="29"/>
      <c r="CE355" s="39"/>
      <c r="CF355" s="39"/>
      <c r="CG355" s="39"/>
      <c r="CH355" s="40"/>
      <c r="CI355" s="40"/>
      <c r="CJ355" s="40"/>
      <c r="CK355" s="166"/>
      <c r="CL355" s="39"/>
      <c r="CM355" s="166"/>
      <c r="CN355" s="166"/>
      <c r="CO355" s="166"/>
      <c r="CP355" s="166"/>
      <c r="CQ355" s="39"/>
      <c r="CR355" s="166"/>
      <c r="CS355" s="166"/>
      <c r="CT355" s="39"/>
      <c r="CU355" s="39"/>
      <c r="CV355" s="39"/>
      <c r="CW355" s="41"/>
      <c r="CX355" s="39"/>
      <c r="CY355" s="39"/>
      <c r="CZ355" s="41"/>
      <c r="DA355" s="41"/>
      <c r="DB355" s="41"/>
      <c r="DC355" s="41"/>
      <c r="DD355" s="39"/>
      <c r="DE355" s="39"/>
      <c r="DF355" s="41"/>
      <c r="DG355" s="41"/>
      <c r="DH355" s="41"/>
      <c r="DI355" s="42"/>
      <c r="DJ355" s="43"/>
      <c r="DK355" s="43">
        <f t="shared" si="337"/>
        <v>0</v>
      </c>
      <c r="DX355" s="42"/>
      <c r="DY355" s="42"/>
      <c r="DZ355" s="42"/>
      <c r="EA355" s="42"/>
      <c r="EC355" s="30" t="s">
        <v>758</v>
      </c>
      <c r="ED355" s="30" t="s">
        <v>650</v>
      </c>
      <c r="EE355" s="30" t="s">
        <v>734</v>
      </c>
    </row>
    <row r="356" spans="24:135" s="30" customFormat="1" ht="14.65" thickBot="1">
      <c r="X356" s="67"/>
      <c r="AB356" s="68"/>
      <c r="AJ356" s="74"/>
      <c r="AR356" s="74"/>
      <c r="AZ356" s="74"/>
      <c r="BG356" s="74"/>
      <c r="BN356" s="74"/>
      <c r="BV356" s="74"/>
      <c r="CC356" s="91"/>
      <c r="CD356" s="29"/>
      <c r="CE356" s="39"/>
      <c r="CF356" s="39"/>
      <c r="CG356" s="39"/>
      <c r="CH356" s="40"/>
      <c r="CI356" s="40"/>
      <c r="CJ356" s="40"/>
      <c r="CK356" s="166"/>
      <c r="CL356" s="166"/>
      <c r="CM356" s="166"/>
      <c r="CN356" s="166"/>
      <c r="CO356" s="166"/>
      <c r="CP356" s="166"/>
      <c r="CQ356" s="39"/>
      <c r="CR356" s="166"/>
      <c r="CS356" s="166"/>
      <c r="CT356" s="39"/>
      <c r="CU356" s="39"/>
      <c r="CV356" s="39"/>
      <c r="CW356" s="41"/>
      <c r="CX356" s="39"/>
      <c r="CY356" s="39"/>
      <c r="CZ356" s="41"/>
      <c r="DA356" s="41"/>
      <c r="DB356" s="41"/>
      <c r="DC356" s="41"/>
      <c r="DD356" s="39"/>
      <c r="DE356" s="39"/>
      <c r="DF356" s="41"/>
      <c r="DG356" s="41"/>
      <c r="DH356" s="41"/>
      <c r="DI356" s="42"/>
      <c r="DJ356" s="43"/>
      <c r="DK356" s="43">
        <f t="shared" si="337"/>
        <v>0</v>
      </c>
      <c r="DX356" s="42"/>
      <c r="DY356" s="42"/>
      <c r="DZ356" s="42"/>
      <c r="EA356" s="42"/>
      <c r="EC356" s="30">
        <v>1.4999999999999999E-2</v>
      </c>
      <c r="ED356" s="30">
        <v>7.0000000000000001E-3</v>
      </c>
      <c r="EE356" s="30">
        <f>+DW345*DX345*EB345*EC356*ED356*310</f>
        <v>1.4647500000000001E-2</v>
      </c>
    </row>
    <row r="357" spans="24:135" s="30" customFormat="1">
      <c r="X357" s="67"/>
      <c r="AB357" s="68"/>
      <c r="AJ357" s="74"/>
      <c r="AR357" s="74"/>
      <c r="AZ357" s="74"/>
      <c r="BG357" s="74"/>
      <c r="BN357" s="74"/>
      <c r="BV357" s="74"/>
      <c r="CC357" s="91"/>
      <c r="CD357" s="710" t="s">
        <v>759</v>
      </c>
      <c r="CE357" s="85"/>
      <c r="CF357" s="710" t="s">
        <v>739</v>
      </c>
      <c r="CG357" s="85"/>
      <c r="CH357" s="710" t="s">
        <v>181</v>
      </c>
      <c r="CI357" s="710" t="s">
        <v>181</v>
      </c>
      <c r="CJ357" s="710" t="s">
        <v>182</v>
      </c>
      <c r="CK357" s="166"/>
      <c r="CL357" s="166"/>
      <c r="CM357" s="166"/>
      <c r="CN357" s="166"/>
      <c r="CO357" s="166"/>
      <c r="CP357" s="166"/>
      <c r="CQ357" s="39"/>
      <c r="CR357" s="166"/>
      <c r="CS357" s="166"/>
      <c r="CT357" s="39"/>
      <c r="CU357" s="39"/>
      <c r="CV357" s="39"/>
      <c r="CW357" s="41"/>
      <c r="CX357" s="39"/>
      <c r="CY357" s="39"/>
      <c r="CZ357" s="41"/>
      <c r="DA357" s="41"/>
      <c r="DB357" s="41"/>
      <c r="DC357" s="41"/>
      <c r="DD357" s="39"/>
      <c r="DE357" s="39"/>
      <c r="DF357" s="41"/>
      <c r="DG357" s="41"/>
      <c r="DH357" s="41"/>
      <c r="DI357" s="42"/>
      <c r="DJ357" s="43"/>
      <c r="DK357" s="43" t="str">
        <f t="shared" si="337"/>
        <v>Incertidumbre (+/- %)</v>
      </c>
      <c r="DX357" s="42"/>
      <c r="DY357" s="42"/>
      <c r="DZ357" s="42"/>
      <c r="EA357" s="42"/>
    </row>
    <row r="358" spans="24:135" s="30" customFormat="1" ht="14.65" thickBot="1">
      <c r="X358" s="67"/>
      <c r="AB358" s="68"/>
      <c r="AJ358" s="74"/>
      <c r="AR358" s="74"/>
      <c r="AZ358" s="74"/>
      <c r="BG358" s="74"/>
      <c r="BN358" s="74"/>
      <c r="BV358" s="74"/>
      <c r="CC358" s="91"/>
      <c r="CD358" s="711"/>
      <c r="CE358" s="87" t="s">
        <v>193</v>
      </c>
      <c r="CF358" s="711"/>
      <c r="CG358" s="87" t="s">
        <v>194</v>
      </c>
      <c r="CH358" s="711"/>
      <c r="CI358" s="711"/>
      <c r="CJ358" s="711"/>
      <c r="CK358" s="166"/>
      <c r="CL358" s="166"/>
      <c r="CM358" s="166"/>
      <c r="CN358" s="166"/>
      <c r="CO358" s="166"/>
      <c r="CP358" s="166"/>
      <c r="CQ358" s="39"/>
      <c r="CR358" s="166"/>
      <c r="CS358" s="166"/>
      <c r="CT358" s="39"/>
      <c r="CU358" s="39"/>
      <c r="CV358" s="39"/>
      <c r="CW358" s="41"/>
      <c r="CX358" s="39"/>
      <c r="CY358" s="39"/>
      <c r="CZ358" s="41"/>
      <c r="DA358" s="41"/>
      <c r="DB358" s="41"/>
      <c r="DC358" s="41"/>
      <c r="DD358" s="39"/>
      <c r="DE358" s="39"/>
      <c r="DF358" s="41"/>
      <c r="DG358" s="41"/>
      <c r="DH358" s="41"/>
      <c r="DI358" s="42"/>
      <c r="DJ358" s="43"/>
      <c r="DK358" s="43">
        <f t="shared" si="337"/>
        <v>0</v>
      </c>
      <c r="DX358" s="42"/>
      <c r="DY358" s="42"/>
      <c r="DZ358" s="42"/>
      <c r="EA358" s="42"/>
      <c r="EE358" s="30">
        <f>+DW345*DX345*EB345*EC356*ED356*298</f>
        <v>1.4080500000000001E-2</v>
      </c>
    </row>
    <row r="359" spans="24:135" s="30" customFormat="1" ht="16.149999999999999" thickBot="1">
      <c r="X359" s="67"/>
      <c r="AB359" s="68"/>
      <c r="AJ359" s="74"/>
      <c r="AR359" s="74"/>
      <c r="AZ359" s="74"/>
      <c r="BG359" s="74"/>
      <c r="BN359" s="74"/>
      <c r="BV359" s="74"/>
      <c r="CC359" s="91"/>
      <c r="CD359" s="111" t="s">
        <v>760</v>
      </c>
      <c r="CE359" s="92" t="s">
        <v>761</v>
      </c>
      <c r="CF359" s="96">
        <f>0.016*44/28</f>
        <v>2.514285714285714E-2</v>
      </c>
      <c r="CG359" s="92" t="s">
        <v>762</v>
      </c>
      <c r="CH359" s="98">
        <v>0.1</v>
      </c>
      <c r="CI359" s="98">
        <v>3</v>
      </c>
      <c r="CJ359" s="97" t="s">
        <v>494</v>
      </c>
      <c r="CK359" s="166"/>
      <c r="CL359" s="166"/>
      <c r="CM359" s="166"/>
      <c r="CN359" s="166"/>
      <c r="CO359" s="166"/>
      <c r="CP359" s="166"/>
      <c r="CQ359" s="39"/>
      <c r="CR359" s="166"/>
      <c r="CS359" s="166"/>
      <c r="CT359" s="39"/>
      <c r="CU359" s="39"/>
      <c r="CV359" s="39"/>
      <c r="CW359" s="41"/>
      <c r="CX359" s="39"/>
      <c r="CY359" s="39"/>
      <c r="CZ359" s="41"/>
      <c r="DA359" s="41"/>
      <c r="DB359" s="41"/>
      <c r="DC359" s="41"/>
      <c r="DD359" s="39"/>
      <c r="DE359" s="39"/>
      <c r="DF359" s="41"/>
      <c r="DG359" s="41"/>
      <c r="DH359" s="41"/>
      <c r="DI359" s="42"/>
      <c r="DJ359" s="43"/>
      <c r="DK359" s="43">
        <f t="shared" si="337"/>
        <v>3</v>
      </c>
      <c r="DX359" s="42"/>
      <c r="DY359" s="42"/>
      <c r="DZ359" s="42"/>
      <c r="EA359" s="42"/>
    </row>
    <row r="360" spans="24:135" s="30" customFormat="1" ht="28.15" thickBot="1">
      <c r="X360" s="67"/>
      <c r="AB360" s="68"/>
      <c r="AJ360" s="74"/>
      <c r="AR360" s="74"/>
      <c r="AZ360" s="74"/>
      <c r="BG360" s="74"/>
      <c r="BN360" s="74"/>
      <c r="BV360" s="74"/>
      <c r="CC360" s="91"/>
      <c r="CD360" s="111" t="s">
        <v>763</v>
      </c>
      <c r="CE360" s="92" t="s">
        <v>761</v>
      </c>
      <c r="CF360" s="96">
        <f>0.006*44/28</f>
        <v>9.4285714285714285E-3</v>
      </c>
      <c r="CG360" s="92" t="s">
        <v>762</v>
      </c>
      <c r="CH360" s="98">
        <v>0.1</v>
      </c>
      <c r="CI360" s="98">
        <v>3</v>
      </c>
      <c r="CJ360" s="97" t="s">
        <v>494</v>
      </c>
      <c r="CK360" s="166"/>
      <c r="CL360" s="166"/>
      <c r="CM360" s="166"/>
      <c r="CN360" s="166"/>
      <c r="CO360" s="166"/>
      <c r="CP360" s="166"/>
      <c r="CQ360" s="39"/>
      <c r="CR360" s="166"/>
      <c r="CS360" s="166"/>
      <c r="CT360" s="39"/>
      <c r="CU360" s="39"/>
      <c r="CV360" s="39"/>
      <c r="CW360" s="41"/>
      <c r="CX360" s="39"/>
      <c r="CY360" s="39"/>
      <c r="CZ360" s="41"/>
      <c r="DA360" s="41"/>
      <c r="DB360" s="41"/>
      <c r="DC360" s="41"/>
      <c r="DD360" s="39"/>
      <c r="DE360" s="39"/>
      <c r="DF360" s="41"/>
      <c r="DG360" s="41"/>
      <c r="DH360" s="41"/>
      <c r="DI360" s="42"/>
      <c r="DJ360" s="43"/>
      <c r="DK360" s="43">
        <f t="shared" si="337"/>
        <v>3</v>
      </c>
      <c r="DX360" s="42"/>
      <c r="DY360" s="42"/>
      <c r="DZ360" s="42"/>
      <c r="EA360" s="42"/>
    </row>
    <row r="361" spans="24:135" s="30" customFormat="1" ht="28.15" thickBot="1">
      <c r="X361" s="67"/>
      <c r="AB361" s="68"/>
      <c r="AJ361" s="74"/>
      <c r="AR361" s="74"/>
      <c r="AZ361" s="74"/>
      <c r="BG361" s="74"/>
      <c r="BN361" s="74"/>
      <c r="BV361" s="74"/>
      <c r="CC361" s="91"/>
      <c r="CD361" s="111" t="s">
        <v>764</v>
      </c>
      <c r="CE361" s="92" t="s">
        <v>761</v>
      </c>
      <c r="CF361" s="96">
        <f>0.01*44/28</f>
        <v>1.5714285714285715E-2</v>
      </c>
      <c r="CG361" s="92" t="s">
        <v>762</v>
      </c>
      <c r="CH361" s="98">
        <v>0.1</v>
      </c>
      <c r="CI361" s="98">
        <v>3</v>
      </c>
      <c r="CJ361" s="97" t="s">
        <v>494</v>
      </c>
      <c r="CK361" s="166"/>
      <c r="CL361" s="166"/>
      <c r="CM361" s="166"/>
      <c r="CN361" s="166"/>
      <c r="CO361" s="166"/>
      <c r="CP361" s="166"/>
      <c r="CQ361" s="39"/>
      <c r="CR361" s="166"/>
      <c r="CS361" s="166"/>
      <c r="CT361" s="39"/>
      <c r="CU361" s="39"/>
      <c r="CV361" s="39"/>
      <c r="CW361" s="41"/>
      <c r="CX361" s="39"/>
      <c r="CY361" s="39"/>
      <c r="CZ361" s="41"/>
      <c r="DA361" s="41"/>
      <c r="DB361" s="41"/>
      <c r="DC361" s="41"/>
      <c r="DD361" s="39"/>
      <c r="DE361" s="39"/>
      <c r="DF361" s="41"/>
      <c r="DG361" s="41"/>
      <c r="DH361" s="41"/>
      <c r="DI361" s="42"/>
      <c r="DJ361" s="43"/>
      <c r="DK361" s="43">
        <f t="shared" ref="DK361" si="365">CI361</f>
        <v>3</v>
      </c>
      <c r="DX361" s="42"/>
      <c r="DY361" s="42"/>
      <c r="DZ361" s="42"/>
      <c r="EA361" s="42"/>
    </row>
    <row r="362" spans="24:135" s="30" customFormat="1" ht="28.15" thickBot="1">
      <c r="X362" s="67"/>
      <c r="AB362" s="68"/>
      <c r="AJ362" s="74"/>
      <c r="AR362" s="74"/>
      <c r="AZ362" s="74"/>
      <c r="BG362" s="74"/>
      <c r="BN362" s="74"/>
      <c r="BV362" s="74"/>
      <c r="CC362" s="91"/>
      <c r="CD362" s="111" t="s">
        <v>765</v>
      </c>
      <c r="CE362" s="92" t="s">
        <v>761</v>
      </c>
      <c r="CF362" s="96">
        <f>0.06*44/28</f>
        <v>9.4285714285714278E-2</v>
      </c>
      <c r="CG362" s="92" t="s">
        <v>762</v>
      </c>
      <c r="CH362" s="98">
        <v>0.35</v>
      </c>
      <c r="CI362" s="98">
        <v>3</v>
      </c>
      <c r="CJ362" s="97" t="s">
        <v>494</v>
      </c>
      <c r="CK362" s="166"/>
      <c r="CL362" s="166"/>
      <c r="CM362" s="166"/>
      <c r="CN362" s="166"/>
      <c r="CO362" s="166"/>
      <c r="CP362" s="166"/>
      <c r="CQ362" s="39"/>
      <c r="CR362" s="166"/>
      <c r="CS362" s="166"/>
      <c r="CT362" s="39"/>
      <c r="CU362" s="39"/>
      <c r="CV362" s="39"/>
      <c r="CW362" s="41"/>
      <c r="CX362" s="39"/>
      <c r="CY362" s="39"/>
      <c r="CZ362" s="41"/>
      <c r="DA362" s="41"/>
      <c r="DB362" s="41"/>
      <c r="DC362" s="41"/>
      <c r="DD362" s="39"/>
      <c r="DE362" s="39"/>
      <c r="DF362" s="41"/>
      <c r="DG362" s="41"/>
      <c r="DH362" s="41"/>
      <c r="DI362" s="42"/>
      <c r="DJ362" s="43"/>
      <c r="DK362" s="43">
        <f t="shared" si="337"/>
        <v>3</v>
      </c>
      <c r="DX362" s="42"/>
      <c r="DY362" s="42"/>
      <c r="DZ362" s="42"/>
      <c r="EA362" s="42"/>
    </row>
    <row r="363" spans="24:135" s="30" customFormat="1" ht="28.15" thickBot="1">
      <c r="X363" s="67"/>
      <c r="AB363" s="68"/>
      <c r="AJ363" s="74"/>
      <c r="AR363" s="74"/>
      <c r="AZ363" s="74"/>
      <c r="BG363" s="74"/>
      <c r="BN363" s="74"/>
      <c r="BV363" s="74"/>
      <c r="CC363" s="91"/>
      <c r="CD363" s="111" t="s">
        <v>766</v>
      </c>
      <c r="CE363" s="92" t="s">
        <v>761</v>
      </c>
      <c r="CF363" s="96">
        <f>0.02*44/28</f>
        <v>3.1428571428571431E-2</v>
      </c>
      <c r="CG363" s="92" t="s">
        <v>762</v>
      </c>
      <c r="CH363" s="98">
        <v>0.33329999999999999</v>
      </c>
      <c r="CI363" s="98">
        <v>3</v>
      </c>
      <c r="CJ363" s="97" t="s">
        <v>494</v>
      </c>
      <c r="CK363" s="166"/>
      <c r="CL363" s="166"/>
      <c r="CM363" s="166"/>
      <c r="CN363" s="166"/>
      <c r="CO363" s="166"/>
      <c r="CP363" s="166"/>
      <c r="CQ363" s="39"/>
      <c r="CR363" s="166"/>
      <c r="CS363" s="166"/>
      <c r="CT363" s="39"/>
      <c r="CU363" s="39"/>
      <c r="CV363" s="39"/>
      <c r="CW363" s="41"/>
      <c r="CX363" s="39"/>
      <c r="CY363" s="39"/>
      <c r="CZ363" s="41"/>
      <c r="DA363" s="41"/>
      <c r="DB363" s="41"/>
      <c r="DC363" s="41"/>
      <c r="DD363" s="39"/>
      <c r="DE363" s="39"/>
      <c r="DF363" s="41"/>
      <c r="DG363" s="41"/>
      <c r="DH363" s="41"/>
      <c r="DI363" s="42"/>
      <c r="DJ363" s="43"/>
      <c r="DK363" s="43">
        <f t="shared" ref="DK363" si="366">CI363</f>
        <v>3</v>
      </c>
      <c r="DX363" s="42"/>
      <c r="DY363" s="42"/>
      <c r="DZ363" s="42"/>
      <c r="EA363" s="42"/>
    </row>
    <row r="364" spans="24:135" s="30" customFormat="1" ht="16.149999999999999" thickBot="1">
      <c r="X364" s="67"/>
      <c r="AB364" s="68"/>
      <c r="AJ364" s="74"/>
      <c r="AR364" s="74"/>
      <c r="AZ364" s="74"/>
      <c r="BG364" s="74"/>
      <c r="BN364" s="74"/>
      <c r="BV364" s="74"/>
      <c r="CC364" s="91"/>
      <c r="CD364" s="111" t="s">
        <v>767</v>
      </c>
      <c r="CE364" s="92" t="s">
        <v>761</v>
      </c>
      <c r="CF364" s="96">
        <f>0.01*44/28</f>
        <v>1.5714285714285715E-2</v>
      </c>
      <c r="CG364" s="92" t="s">
        <v>762</v>
      </c>
      <c r="CH364" s="98">
        <v>0.33329999999999999</v>
      </c>
      <c r="CI364" s="98">
        <v>3</v>
      </c>
      <c r="CJ364" s="97" t="s">
        <v>494</v>
      </c>
      <c r="CK364" s="166"/>
      <c r="CL364" s="166"/>
      <c r="CM364" s="166"/>
      <c r="CN364" s="166"/>
      <c r="CO364" s="166"/>
      <c r="CP364" s="166"/>
      <c r="CQ364" s="39"/>
      <c r="CR364" s="166"/>
      <c r="CS364" s="166"/>
      <c r="CT364" s="39"/>
      <c r="CU364" s="39"/>
      <c r="CV364" s="39"/>
      <c r="CW364" s="41"/>
      <c r="CX364" s="39"/>
      <c r="CY364" s="39"/>
      <c r="CZ364" s="41"/>
      <c r="DA364" s="41"/>
      <c r="DB364" s="41"/>
      <c r="DC364" s="41"/>
      <c r="DD364" s="39"/>
      <c r="DE364" s="39"/>
      <c r="DF364" s="41"/>
      <c r="DG364" s="41"/>
      <c r="DH364" s="41"/>
      <c r="DI364" s="42"/>
      <c r="DJ364" s="43"/>
      <c r="DK364" s="43">
        <f t="shared" si="337"/>
        <v>3</v>
      </c>
      <c r="DX364" s="42"/>
      <c r="DY364" s="42"/>
      <c r="DZ364" s="42"/>
      <c r="EA364" s="42"/>
    </row>
    <row r="365" spans="24:135" s="30" customFormat="1" ht="28.15" thickBot="1">
      <c r="X365" s="67"/>
      <c r="AB365" s="68"/>
      <c r="AJ365" s="74"/>
      <c r="AR365" s="74"/>
      <c r="AZ365" s="74"/>
      <c r="BG365" s="74"/>
      <c r="BN365" s="74"/>
      <c r="BV365" s="74"/>
      <c r="CC365" s="91"/>
      <c r="CD365" s="111" t="s">
        <v>768</v>
      </c>
      <c r="CE365" s="92" t="s">
        <v>761</v>
      </c>
      <c r="CF365" s="96">
        <f>0.003*44/28</f>
        <v>4.7142857142857143E-3</v>
      </c>
      <c r="CG365" s="92" t="s">
        <v>762</v>
      </c>
      <c r="CH365" s="98">
        <v>0.01</v>
      </c>
      <c r="CI365" s="98">
        <v>2</v>
      </c>
      <c r="CJ365" s="97" t="s">
        <v>494</v>
      </c>
      <c r="CK365" s="166"/>
      <c r="CL365" s="96">
        <v>3.3525</v>
      </c>
      <c r="CM365" s="92" t="s">
        <v>769</v>
      </c>
      <c r="CN365" s="166"/>
      <c r="CO365" s="166"/>
      <c r="CP365" s="166"/>
      <c r="CQ365" s="39"/>
      <c r="CR365" s="166"/>
      <c r="CS365" s="166"/>
      <c r="CT365" s="39"/>
      <c r="CU365" s="39"/>
      <c r="CV365" s="39"/>
      <c r="CW365" s="41"/>
      <c r="CX365" s="39"/>
      <c r="CY365" s="39"/>
      <c r="CZ365" s="41"/>
      <c r="DA365" s="41"/>
      <c r="DB365" s="41"/>
      <c r="DC365" s="41"/>
      <c r="DD365" s="39"/>
      <c r="DE365" s="39"/>
      <c r="DF365" s="41"/>
      <c r="DG365" s="41"/>
      <c r="DH365" s="41"/>
      <c r="DI365" s="42"/>
      <c r="DJ365" s="43"/>
      <c r="DK365" s="43">
        <f t="shared" si="337"/>
        <v>2</v>
      </c>
      <c r="DX365" s="42"/>
      <c r="DY365" s="42"/>
      <c r="DZ365" s="42"/>
      <c r="EA365" s="42"/>
    </row>
    <row r="366" spans="24:135" s="30" customFormat="1" ht="14.65" thickBot="1">
      <c r="X366" s="67"/>
      <c r="AB366" s="68"/>
      <c r="AJ366" s="74"/>
      <c r="AR366" s="74"/>
      <c r="AZ366" s="74"/>
      <c r="BG366" s="74"/>
      <c r="BN366" s="74"/>
      <c r="BV366" s="74"/>
      <c r="CC366" s="91"/>
      <c r="CD366" s="111" t="s">
        <v>770</v>
      </c>
      <c r="CE366" s="92" t="s">
        <v>771</v>
      </c>
      <c r="CF366" s="96">
        <f>0.12*(44/12)</f>
        <v>0.43999999999999995</v>
      </c>
      <c r="CG366" s="92" t="s">
        <v>772</v>
      </c>
      <c r="CH366" s="98">
        <v>0.01</v>
      </c>
      <c r="CI366" s="98">
        <v>0.5</v>
      </c>
      <c r="CJ366" s="97" t="s">
        <v>442</v>
      </c>
      <c r="CK366" s="166"/>
      <c r="CL366" s="166"/>
      <c r="CM366" s="166"/>
      <c r="CN366" s="166"/>
      <c r="CO366" s="166"/>
      <c r="CP366" s="166"/>
      <c r="CQ366" s="39"/>
      <c r="CR366" s="166"/>
      <c r="CS366" s="166"/>
      <c r="CT366" s="39"/>
      <c r="CU366" s="39"/>
      <c r="CV366" s="39"/>
      <c r="CW366" s="41"/>
      <c r="CX366" s="39"/>
      <c r="CY366" s="39"/>
      <c r="CZ366" s="41"/>
      <c r="DA366" s="41"/>
      <c r="DB366" s="41"/>
      <c r="DC366" s="41"/>
      <c r="DD366" s="39"/>
      <c r="DE366" s="39"/>
      <c r="DF366" s="41"/>
      <c r="DG366" s="41"/>
      <c r="DH366" s="41"/>
      <c r="DI366" s="42"/>
      <c r="DJ366" s="43"/>
      <c r="DK366" s="43">
        <f t="shared" si="337"/>
        <v>0.5</v>
      </c>
      <c r="DX366" s="42"/>
      <c r="DY366" s="42"/>
      <c r="DZ366" s="42"/>
      <c r="EA366" s="42"/>
    </row>
    <row r="367" spans="24:135" s="30" customFormat="1" ht="14.65" thickBot="1">
      <c r="X367" s="67"/>
      <c r="AB367" s="68"/>
      <c r="AJ367" s="74"/>
      <c r="AR367" s="74"/>
      <c r="AZ367" s="74"/>
      <c r="BG367" s="74"/>
      <c r="BN367" s="74"/>
      <c r="BV367" s="74"/>
      <c r="CC367" s="91"/>
      <c r="CD367" s="111" t="s">
        <v>773</v>
      </c>
      <c r="CE367" s="92" t="s">
        <v>771</v>
      </c>
      <c r="CF367" s="96">
        <f>0.13*(44/12)</f>
        <v>0.47666666666666668</v>
      </c>
      <c r="CG367" s="92" t="s">
        <v>772</v>
      </c>
      <c r="CH367" s="98">
        <v>0.01</v>
      </c>
      <c r="CI367" s="98">
        <v>0.5</v>
      </c>
      <c r="CJ367" s="97" t="s">
        <v>442</v>
      </c>
      <c r="CK367" s="166"/>
      <c r="CL367" s="166"/>
      <c r="CM367" s="166"/>
      <c r="CN367" s="166"/>
      <c r="CO367" s="166"/>
      <c r="CP367" s="166"/>
      <c r="CQ367" s="39"/>
      <c r="CR367" s="166"/>
      <c r="CS367" s="166"/>
      <c r="CT367" s="39"/>
      <c r="CU367" s="39"/>
      <c r="CV367" s="39"/>
      <c r="CW367" s="41"/>
      <c r="CX367" s="39"/>
      <c r="CY367" s="39"/>
      <c r="CZ367" s="41"/>
      <c r="DA367" s="41"/>
      <c r="DB367" s="41"/>
      <c r="DC367" s="41"/>
      <c r="DD367" s="39"/>
      <c r="DE367" s="39"/>
      <c r="DF367" s="41"/>
      <c r="DG367" s="41"/>
      <c r="DH367" s="41"/>
      <c r="DI367" s="42"/>
      <c r="DJ367" s="43"/>
      <c r="DK367" s="43">
        <f t="shared" si="337"/>
        <v>0.5</v>
      </c>
      <c r="DX367" s="42"/>
      <c r="DY367" s="42"/>
      <c r="DZ367" s="42"/>
      <c r="EA367" s="42"/>
    </row>
    <row r="368" spans="24:135" s="30" customFormat="1" ht="14.65" thickBot="1">
      <c r="X368" s="67"/>
      <c r="AB368" s="68"/>
      <c r="AJ368" s="74"/>
      <c r="AR368" s="74"/>
      <c r="AZ368" s="74"/>
      <c r="BG368" s="74"/>
      <c r="BN368" s="74"/>
      <c r="BV368" s="74"/>
      <c r="CC368" s="91"/>
      <c r="CD368" s="111" t="s">
        <v>774</v>
      </c>
      <c r="CE368" s="92" t="s">
        <v>775</v>
      </c>
      <c r="CF368" s="96">
        <f>0.2*(44/12)</f>
        <v>0.73333333333333339</v>
      </c>
      <c r="CG368" s="92" t="s">
        <v>776</v>
      </c>
      <c r="CH368" s="98">
        <v>0.01</v>
      </c>
      <c r="CI368" s="98">
        <v>0.5</v>
      </c>
      <c r="CJ368" s="97" t="s">
        <v>442</v>
      </c>
      <c r="CK368" s="166"/>
      <c r="CL368" s="96"/>
      <c r="CM368" s="92"/>
      <c r="CN368" s="166"/>
      <c r="CO368" s="166"/>
      <c r="CP368" s="166"/>
      <c r="CQ368" s="39"/>
      <c r="CR368" s="166"/>
      <c r="CS368" s="166"/>
      <c r="CT368" s="39"/>
      <c r="CU368" s="39"/>
      <c r="CV368" s="39"/>
      <c r="CW368" s="41"/>
      <c r="CX368" s="39"/>
      <c r="CY368" s="39"/>
      <c r="CZ368" s="41"/>
      <c r="DA368" s="41"/>
      <c r="DB368" s="41"/>
      <c r="DC368" s="41"/>
      <c r="DD368" s="39"/>
      <c r="DE368" s="39"/>
      <c r="DF368" s="41"/>
      <c r="DG368" s="41"/>
      <c r="DH368" s="41"/>
      <c r="DI368" s="42"/>
      <c r="DJ368" s="43">
        <v>0.5</v>
      </c>
      <c r="DK368" s="43">
        <f t="shared" si="337"/>
        <v>0.5</v>
      </c>
      <c r="DX368" s="42"/>
      <c r="DY368" s="42"/>
      <c r="DZ368" s="42"/>
      <c r="EA368" s="42"/>
    </row>
    <row r="369" spans="24:135" s="30" customFormat="1">
      <c r="X369" s="67"/>
      <c r="AB369" s="68"/>
      <c r="AJ369" s="74"/>
      <c r="AR369" s="74"/>
      <c r="AZ369" s="74"/>
      <c r="BG369" s="74"/>
      <c r="BN369" s="74"/>
      <c r="BV369" s="74"/>
      <c r="CC369" s="91"/>
      <c r="CD369" s="29"/>
      <c r="CE369" s="39"/>
      <c r="CF369" s="39"/>
      <c r="CG369" s="39"/>
      <c r="CH369" s="40"/>
      <c r="CI369" s="40"/>
      <c r="CJ369" s="40"/>
      <c r="CK369" s="166"/>
      <c r="CL369" s="166"/>
      <c r="CM369" s="166"/>
      <c r="CN369" s="166"/>
      <c r="CO369" s="166"/>
      <c r="CP369" s="166"/>
      <c r="CQ369" s="39"/>
      <c r="CR369" s="166"/>
      <c r="CS369" s="166"/>
      <c r="CT369" s="39"/>
      <c r="CU369" s="39"/>
      <c r="CV369" s="39"/>
      <c r="CW369" s="41"/>
      <c r="CX369" s="39"/>
      <c r="CY369" s="39"/>
      <c r="CZ369" s="41"/>
      <c r="DA369" s="41"/>
      <c r="DB369" s="41"/>
      <c r="DC369" s="41"/>
      <c r="DD369" s="39"/>
      <c r="DE369" s="39"/>
      <c r="DF369" s="41"/>
      <c r="DG369" s="41"/>
      <c r="DH369" s="41"/>
      <c r="DI369" s="42"/>
      <c r="DJ369" s="43"/>
      <c r="DK369" s="43">
        <f t="shared" si="337"/>
        <v>0</v>
      </c>
      <c r="DT369" s="30" t="s">
        <v>777</v>
      </c>
      <c r="DU369" s="30" t="s">
        <v>778</v>
      </c>
      <c r="DW369" s="30" t="s">
        <v>731</v>
      </c>
      <c r="DX369" s="42" t="s">
        <v>779</v>
      </c>
      <c r="DY369" s="42"/>
      <c r="DZ369" s="42"/>
      <c r="EA369" s="42"/>
      <c r="EC369" s="30" t="s">
        <v>780</v>
      </c>
      <c r="ED369" s="177" t="s">
        <v>781</v>
      </c>
      <c r="EE369" s="106" t="s">
        <v>734</v>
      </c>
    </row>
    <row r="370" spans="24:135" s="30" customFormat="1">
      <c r="X370" s="67"/>
      <c r="AB370" s="68"/>
      <c r="AJ370" s="74"/>
      <c r="AR370" s="74"/>
      <c r="AZ370" s="74"/>
      <c r="BG370" s="74"/>
      <c r="BN370" s="74"/>
      <c r="BV370" s="74"/>
      <c r="CC370" s="91"/>
      <c r="CD370" s="29"/>
      <c r="CE370" s="39"/>
      <c r="CF370" s="39"/>
      <c r="CG370" s="39"/>
      <c r="CH370" s="40"/>
      <c r="CI370" s="40"/>
      <c r="CJ370" s="40"/>
      <c r="CK370" s="166"/>
      <c r="CL370" s="166"/>
      <c r="CM370" s="166"/>
      <c r="CN370" s="166"/>
      <c r="CO370" s="166"/>
      <c r="CP370" s="166"/>
      <c r="CQ370" s="39"/>
      <c r="CR370" s="166"/>
      <c r="CS370" s="166"/>
      <c r="CT370" s="39"/>
      <c r="CU370" s="39"/>
      <c r="CV370" s="39"/>
      <c r="CW370" s="41"/>
      <c r="CX370" s="39"/>
      <c r="CY370" s="39"/>
      <c r="CZ370" s="41"/>
      <c r="DA370" s="41"/>
      <c r="DB370" s="41"/>
      <c r="DC370" s="41"/>
      <c r="DD370" s="39"/>
      <c r="DE370" s="39"/>
      <c r="DF370" s="41"/>
      <c r="DG370" s="41"/>
      <c r="DH370" s="41"/>
      <c r="DI370" s="42"/>
      <c r="DJ370" s="43"/>
      <c r="DK370" s="43">
        <f t="shared" ref="DK370:DK374" si="367">CI370</f>
        <v>0</v>
      </c>
      <c r="DS370" s="30" t="s">
        <v>782</v>
      </c>
      <c r="DU370" s="30">
        <f>+EE370</f>
        <v>3.4875000000000003</v>
      </c>
      <c r="DW370" s="30">
        <v>1</v>
      </c>
      <c r="DX370" s="42">
        <v>0.9</v>
      </c>
      <c r="DY370" s="42"/>
      <c r="DZ370" s="42"/>
      <c r="EA370" s="42"/>
      <c r="EC370" s="30">
        <v>1.2500000000000001E-2</v>
      </c>
      <c r="ED370" s="30">
        <v>310</v>
      </c>
      <c r="EE370" s="30">
        <f>+DX370*EC370*ED370</f>
        <v>3.4875000000000003</v>
      </c>
    </row>
    <row r="371" spans="24:135" s="30" customFormat="1">
      <c r="X371" s="67"/>
      <c r="AB371" s="68"/>
      <c r="AJ371" s="74"/>
      <c r="AR371" s="74"/>
      <c r="AZ371" s="74"/>
      <c r="BG371" s="74"/>
      <c r="BN371" s="74"/>
      <c r="BV371" s="74"/>
      <c r="CC371" s="91"/>
      <c r="CD371" s="29"/>
      <c r="CE371" s="39"/>
      <c r="CF371" s="39"/>
      <c r="CG371" s="39"/>
      <c r="CH371" s="40"/>
      <c r="CI371" s="40"/>
      <c r="CJ371" s="40"/>
      <c r="CK371" s="166"/>
      <c r="CL371" s="166"/>
      <c r="CM371" s="166"/>
      <c r="CN371" s="166"/>
      <c r="CO371" s="166"/>
      <c r="CP371" s="166"/>
      <c r="CQ371" s="39"/>
      <c r="CR371" s="166"/>
      <c r="CS371" s="166"/>
      <c r="CT371" s="39"/>
      <c r="CU371" s="39"/>
      <c r="CV371" s="39"/>
      <c r="CW371" s="41"/>
      <c r="CX371" s="39"/>
      <c r="CY371" s="39"/>
      <c r="CZ371" s="41"/>
      <c r="DA371" s="41"/>
      <c r="DB371" s="41"/>
      <c r="DC371" s="41"/>
      <c r="DD371" s="39"/>
      <c r="DE371" s="39"/>
      <c r="DF371" s="41"/>
      <c r="DG371" s="41"/>
      <c r="DH371" s="41"/>
      <c r="DI371" s="42"/>
      <c r="DJ371" s="43"/>
      <c r="DK371" s="43">
        <f t="shared" si="367"/>
        <v>0</v>
      </c>
      <c r="DX371" s="42"/>
      <c r="DY371" s="42"/>
      <c r="DZ371" s="42"/>
      <c r="EA371" s="42"/>
      <c r="ED371" s="30">
        <v>298</v>
      </c>
      <c r="EE371" s="30">
        <f>+DX370*EC370*ED371</f>
        <v>3.3525000000000005</v>
      </c>
    </row>
    <row r="372" spans="24:135" s="30" customFormat="1" ht="14.65" thickBot="1">
      <c r="X372" s="67"/>
      <c r="AB372" s="68"/>
      <c r="AJ372" s="74"/>
      <c r="AR372" s="74"/>
      <c r="AZ372" s="74"/>
      <c r="BG372" s="74"/>
      <c r="BN372" s="74"/>
      <c r="BV372" s="74"/>
      <c r="CC372" s="91"/>
      <c r="CD372" s="29"/>
      <c r="CE372" s="39"/>
      <c r="CF372" s="39"/>
      <c r="CG372" s="39"/>
      <c r="CH372" s="40"/>
      <c r="CI372" s="40"/>
      <c r="CJ372" s="40"/>
      <c r="CK372" s="166"/>
      <c r="CL372" s="166"/>
      <c r="CM372" s="166"/>
      <c r="CN372" s="166"/>
      <c r="CO372" s="166"/>
      <c r="CP372" s="166"/>
      <c r="CQ372" s="39"/>
      <c r="CR372" s="166"/>
      <c r="CS372" s="166"/>
      <c r="CT372" s="39"/>
      <c r="CU372" s="39"/>
      <c r="CV372" s="39"/>
      <c r="CW372" s="41"/>
      <c r="CX372" s="39"/>
      <c r="CY372" s="39"/>
      <c r="CZ372" s="41"/>
      <c r="DA372" s="41"/>
      <c r="DB372" s="41"/>
      <c r="DC372" s="41"/>
      <c r="DD372" s="39"/>
      <c r="DE372" s="39"/>
      <c r="DF372" s="41"/>
      <c r="DG372" s="41"/>
      <c r="DH372" s="41"/>
      <c r="DI372" s="42"/>
      <c r="DJ372" s="43"/>
      <c r="DK372" s="43">
        <f t="shared" si="367"/>
        <v>0</v>
      </c>
      <c r="DX372" s="42"/>
      <c r="DY372" s="42"/>
      <c r="DZ372" s="42"/>
      <c r="EA372" s="42"/>
    </row>
    <row r="373" spans="24:135" s="30" customFormat="1">
      <c r="X373" s="67"/>
      <c r="AB373" s="68"/>
      <c r="AJ373" s="74"/>
      <c r="AR373" s="74"/>
      <c r="AZ373" s="74"/>
      <c r="BG373" s="74"/>
      <c r="BN373" s="74"/>
      <c r="BV373" s="74"/>
      <c r="CC373" s="91"/>
      <c r="CD373" s="710" t="s">
        <v>783</v>
      </c>
      <c r="CE373" s="710" t="s">
        <v>193</v>
      </c>
      <c r="CF373" s="710" t="s">
        <v>350</v>
      </c>
      <c r="CG373" s="85"/>
      <c r="CH373" s="710" t="s">
        <v>181</v>
      </c>
      <c r="CI373" s="710" t="s">
        <v>181</v>
      </c>
      <c r="CJ373" s="710" t="s">
        <v>182</v>
      </c>
      <c r="CK373" s="166"/>
      <c r="CL373" s="166"/>
      <c r="CM373" s="166"/>
      <c r="CN373" s="166"/>
      <c r="CO373" s="166"/>
      <c r="CP373" s="166"/>
      <c r="CQ373" s="39"/>
      <c r="CR373" s="166"/>
      <c r="CS373" s="166"/>
      <c r="CT373" s="39"/>
      <c r="CU373" s="39"/>
      <c r="CV373" s="39"/>
      <c r="CW373" s="41"/>
      <c r="CX373" s="39"/>
      <c r="CY373" s="39"/>
      <c r="CZ373" s="41"/>
      <c r="DA373" s="41"/>
      <c r="DB373" s="41"/>
      <c r="DC373" s="41"/>
      <c r="DD373" s="39"/>
      <c r="DE373" s="39"/>
      <c r="DF373" s="41"/>
      <c r="DG373" s="41"/>
      <c r="DH373" s="41"/>
      <c r="DI373" s="42"/>
      <c r="DJ373" s="43"/>
      <c r="DK373" s="43" t="str">
        <f t="shared" si="367"/>
        <v>Incertidumbre (+/- %)</v>
      </c>
      <c r="DX373" s="42"/>
      <c r="DY373" s="42"/>
      <c r="DZ373" s="42"/>
      <c r="EA373" s="42"/>
    </row>
    <row r="374" spans="24:135" s="30" customFormat="1" ht="14.65" thickBot="1">
      <c r="X374" s="67"/>
      <c r="AB374" s="68"/>
      <c r="AJ374" s="74"/>
      <c r="AR374" s="74"/>
      <c r="AZ374" s="74"/>
      <c r="BG374" s="74"/>
      <c r="BN374" s="74"/>
      <c r="BV374" s="74"/>
      <c r="CC374" s="91"/>
      <c r="CD374" s="711"/>
      <c r="CE374" s="711"/>
      <c r="CF374" s="711"/>
      <c r="CG374" s="87" t="s">
        <v>194</v>
      </c>
      <c r="CH374" s="711"/>
      <c r="CI374" s="711"/>
      <c r="CJ374" s="711"/>
      <c r="CK374" s="166"/>
      <c r="CL374" s="166"/>
      <c r="CM374" s="166"/>
      <c r="CN374" s="166"/>
      <c r="CO374" s="166"/>
      <c r="CP374" s="166"/>
      <c r="CQ374" s="39"/>
      <c r="CR374" s="166"/>
      <c r="CS374" s="166"/>
      <c r="CT374" s="39"/>
      <c r="CU374" s="39"/>
      <c r="CV374" s="39"/>
      <c r="CW374" s="41"/>
      <c r="CX374" s="39"/>
      <c r="CY374" s="39"/>
      <c r="CZ374" s="41"/>
      <c r="DA374" s="41"/>
      <c r="DB374" s="41"/>
      <c r="DC374" s="41"/>
      <c r="DD374" s="39"/>
      <c r="DE374" s="39"/>
      <c r="DF374" s="41"/>
      <c r="DG374" s="41"/>
      <c r="DH374" s="41"/>
      <c r="DI374" s="42"/>
      <c r="DJ374" s="43"/>
      <c r="DK374" s="43">
        <f t="shared" si="367"/>
        <v>0</v>
      </c>
      <c r="DX374" s="42"/>
      <c r="DY374" s="42"/>
      <c r="DZ374" s="42"/>
      <c r="EA374" s="42"/>
    </row>
    <row r="375" spans="24:135" s="30" customFormat="1" ht="14.65" thickBot="1">
      <c r="X375" s="67"/>
      <c r="AB375" s="68"/>
      <c r="AJ375" s="74"/>
      <c r="AR375" s="74"/>
      <c r="AZ375" s="74"/>
      <c r="BG375" s="74"/>
      <c r="BN375" s="74"/>
      <c r="BV375" s="74"/>
      <c r="CC375" s="91"/>
      <c r="CD375" s="111" t="s">
        <v>165</v>
      </c>
      <c r="CE375" s="92" t="s">
        <v>784</v>
      </c>
      <c r="CF375" s="171">
        <v>0.12790000000000001</v>
      </c>
      <c r="CG375" s="92" t="s">
        <v>785</v>
      </c>
      <c r="CH375" s="98">
        <v>0.05</v>
      </c>
      <c r="CI375" s="98">
        <v>0.1</v>
      </c>
      <c r="CJ375" s="97" t="s">
        <v>786</v>
      </c>
      <c r="CK375" s="166"/>
      <c r="CL375" s="166"/>
      <c r="CM375" s="166"/>
      <c r="CN375" s="166"/>
      <c r="CO375" s="166"/>
      <c r="CP375" s="166"/>
      <c r="CQ375" s="39"/>
      <c r="CR375" s="166"/>
      <c r="CS375" s="166"/>
      <c r="CT375" s="39"/>
      <c r="CU375" s="39"/>
      <c r="CV375" s="39"/>
      <c r="CW375" s="41"/>
      <c r="CX375" s="39"/>
      <c r="CY375" s="39"/>
      <c r="CZ375" s="41"/>
      <c r="DA375" s="41"/>
      <c r="DB375" s="41"/>
      <c r="DC375" s="41"/>
      <c r="DD375" s="39"/>
      <c r="DE375" s="39"/>
      <c r="DF375" s="41"/>
      <c r="DG375" s="41"/>
      <c r="DH375" s="41"/>
      <c r="DI375" s="42"/>
      <c r="DJ375" s="43">
        <v>0.05</v>
      </c>
      <c r="DK375" s="43">
        <v>0.05</v>
      </c>
      <c r="DR375" s="106"/>
      <c r="DS375" s="176"/>
      <c r="DT375" s="176"/>
      <c r="DU375" s="106"/>
      <c r="DV375" s="106"/>
      <c r="DW375" s="106"/>
      <c r="DX375" s="176"/>
      <c r="DY375" s="176"/>
      <c r="DZ375" s="176"/>
      <c r="EA375" s="176"/>
      <c r="EB375" s="176"/>
      <c r="EC375" s="106"/>
      <c r="EE375" s="170"/>
    </row>
    <row r="376" spans="24:135" s="30" customFormat="1">
      <c r="X376" s="67"/>
      <c r="AB376" s="68"/>
      <c r="AJ376" s="74"/>
      <c r="AR376" s="74"/>
      <c r="AZ376" s="74"/>
      <c r="BG376" s="74"/>
      <c r="BN376" s="74"/>
      <c r="BV376" s="74"/>
      <c r="CC376" s="91"/>
      <c r="CD376" s="29"/>
      <c r="CE376" s="39"/>
      <c r="CF376" s="39"/>
      <c r="CG376" s="39"/>
      <c r="CH376" s="40"/>
      <c r="CI376" s="40"/>
      <c r="CJ376" s="40"/>
      <c r="CK376" s="166"/>
      <c r="CL376" s="166"/>
      <c r="CM376" s="166"/>
      <c r="CN376" s="166"/>
      <c r="CO376" s="166"/>
      <c r="CP376" s="166"/>
      <c r="CQ376" s="39"/>
      <c r="CR376" s="166"/>
      <c r="CS376" s="166"/>
      <c r="CT376" s="39"/>
      <c r="CU376" s="39"/>
      <c r="CV376" s="39"/>
      <c r="CW376" s="41"/>
      <c r="CX376" s="39"/>
      <c r="CY376" s="39"/>
      <c r="CZ376" s="41"/>
      <c r="DA376" s="41"/>
      <c r="DB376" s="41"/>
      <c r="DC376" s="41"/>
      <c r="DD376" s="39"/>
      <c r="DE376" s="39"/>
      <c r="DF376" s="41"/>
      <c r="DG376" s="41"/>
      <c r="DH376" s="41"/>
      <c r="DI376" s="42"/>
      <c r="DJ376" s="43"/>
      <c r="DK376" s="43">
        <v>0.05</v>
      </c>
      <c r="DR376" s="106"/>
      <c r="DS376" s="176"/>
      <c r="DT376" s="176"/>
      <c r="DU376" s="106"/>
      <c r="DV376" s="106"/>
      <c r="DW376" s="106"/>
      <c r="DX376" s="176"/>
      <c r="DY376" s="176"/>
      <c r="DZ376" s="176"/>
      <c r="EA376" s="176"/>
      <c r="EB376" s="176"/>
      <c r="EC376" s="106"/>
      <c r="EE376" s="170"/>
    </row>
    <row r="377" spans="24:135" s="30" customFormat="1">
      <c r="X377" s="67"/>
      <c r="AB377" s="68"/>
      <c r="AJ377" s="74"/>
      <c r="AR377" s="74"/>
      <c r="AZ377" s="74"/>
      <c r="BG377" s="74"/>
      <c r="BN377" s="74"/>
      <c r="BV377" s="74"/>
      <c r="CC377" s="91"/>
      <c r="CD377" s="29"/>
      <c r="CE377" s="39"/>
      <c r="CF377" s="39"/>
      <c r="CG377" s="39"/>
      <c r="CH377" s="40"/>
      <c r="CI377" s="40"/>
      <c r="CJ377" s="40"/>
      <c r="CK377" s="166"/>
      <c r="CL377" s="166"/>
      <c r="CM377" s="166"/>
      <c r="CN377" s="166"/>
      <c r="CO377" s="166"/>
      <c r="CP377" s="166"/>
      <c r="CQ377" s="39"/>
      <c r="CR377" s="166"/>
      <c r="CS377" s="166"/>
      <c r="CT377" s="39"/>
      <c r="CU377" s="39"/>
      <c r="CV377" s="39"/>
      <c r="CW377" s="41"/>
      <c r="CX377" s="39"/>
      <c r="CY377" s="39"/>
      <c r="CZ377" s="41"/>
      <c r="DA377" s="41"/>
      <c r="DB377" s="41"/>
      <c r="DC377" s="41"/>
      <c r="DD377" s="39"/>
      <c r="DE377" s="39"/>
      <c r="DF377" s="41"/>
      <c r="DG377" s="41"/>
      <c r="DH377" s="41"/>
      <c r="DI377" s="42"/>
      <c r="DJ377" s="43">
        <v>0.05</v>
      </c>
      <c r="DK377" s="43">
        <v>0.05</v>
      </c>
      <c r="DR377" s="106"/>
      <c r="DS377" s="176"/>
      <c r="DT377" s="176"/>
      <c r="DU377" s="106"/>
      <c r="DV377" s="106"/>
      <c r="DW377" s="106"/>
      <c r="DX377" s="176"/>
      <c r="DY377" s="176"/>
      <c r="DZ377" s="176"/>
      <c r="EA377" s="176"/>
      <c r="EB377" s="176"/>
      <c r="EC377" s="106"/>
      <c r="EE377" s="170"/>
    </row>
    <row r="378" spans="24:135" s="30" customFormat="1">
      <c r="X378" s="67"/>
      <c r="AB378" s="68"/>
      <c r="AJ378" s="74"/>
      <c r="AR378" s="74"/>
      <c r="AZ378" s="74"/>
      <c r="BG378" s="74"/>
      <c r="BN378" s="74"/>
      <c r="BV378" s="74"/>
      <c r="CC378" s="91"/>
      <c r="CD378" s="29"/>
      <c r="CE378" s="39"/>
      <c r="CF378" s="39"/>
      <c r="CG378" s="39"/>
      <c r="CH378" s="40"/>
      <c r="CI378" s="40"/>
      <c r="CJ378" s="40"/>
      <c r="CK378" s="166"/>
      <c r="CL378" s="166"/>
      <c r="CM378" s="166"/>
      <c r="CN378" s="166"/>
      <c r="CO378" s="166"/>
      <c r="CP378" s="166"/>
      <c r="CQ378" s="39"/>
      <c r="CR378" s="166"/>
      <c r="CS378" s="166"/>
      <c r="CT378" s="39"/>
      <c r="CU378" s="39"/>
      <c r="CV378" s="39"/>
      <c r="CW378" s="41"/>
      <c r="CX378" s="39"/>
      <c r="CY378" s="39"/>
      <c r="CZ378" s="41"/>
      <c r="DA378" s="41"/>
      <c r="DB378" s="41"/>
      <c r="DC378" s="41"/>
      <c r="DD378" s="39"/>
      <c r="DE378" s="39"/>
      <c r="DF378" s="41"/>
      <c r="DG378" s="41"/>
      <c r="DH378" s="41"/>
      <c r="DI378" s="42"/>
      <c r="DJ378" s="43"/>
      <c r="DK378" s="43">
        <v>0.05</v>
      </c>
      <c r="DR378" s="106"/>
      <c r="DS378" s="176"/>
      <c r="DT378" s="176"/>
      <c r="DU378" s="106"/>
      <c r="DV378" s="106"/>
      <c r="DW378" s="106"/>
      <c r="DX378" s="176"/>
      <c r="DY378" s="176"/>
      <c r="DZ378" s="176"/>
      <c r="EA378" s="176"/>
      <c r="EB378" s="176"/>
      <c r="EC378" s="106"/>
      <c r="EE378" s="170"/>
    </row>
    <row r="379" spans="24:135" s="30" customFormat="1">
      <c r="X379" s="67"/>
      <c r="AB379" s="68"/>
      <c r="AJ379" s="74"/>
      <c r="AR379" s="74"/>
      <c r="AZ379" s="74"/>
      <c r="BG379" s="74"/>
      <c r="BN379" s="74"/>
      <c r="BV379" s="74"/>
      <c r="CC379" s="91"/>
      <c r="CD379" s="29"/>
      <c r="CE379" s="39"/>
      <c r="CF379" s="39"/>
      <c r="CG379" s="39"/>
      <c r="CH379" s="40"/>
      <c r="CI379" s="40"/>
      <c r="CJ379" s="40"/>
      <c r="CK379" s="166"/>
      <c r="CL379" s="166"/>
      <c r="CM379" s="166"/>
      <c r="CN379" s="166"/>
      <c r="CO379" s="166"/>
      <c r="CP379" s="166"/>
      <c r="CQ379" s="39"/>
      <c r="CR379" s="166"/>
      <c r="CS379" s="166"/>
      <c r="CT379" s="39"/>
      <c r="CU379" s="39"/>
      <c r="CV379" s="39"/>
      <c r="CW379" s="41"/>
      <c r="CX379" s="39"/>
      <c r="CY379" s="39"/>
      <c r="CZ379" s="41"/>
      <c r="DA379" s="41"/>
      <c r="DB379" s="41"/>
      <c r="DC379" s="41"/>
      <c r="DD379" s="39"/>
      <c r="DE379" s="39"/>
      <c r="DF379" s="41"/>
      <c r="DG379" s="41"/>
      <c r="DH379" s="41"/>
      <c r="DI379" s="42"/>
      <c r="DJ379" s="43">
        <v>0.05</v>
      </c>
      <c r="DK379" s="43">
        <v>0.05</v>
      </c>
      <c r="DR379" s="106"/>
      <c r="DS379" s="176"/>
      <c r="DT379" s="176"/>
      <c r="DU379" s="106"/>
      <c r="DV379" s="106"/>
      <c r="DW379" s="106"/>
      <c r="DX379" s="176"/>
      <c r="DY379" s="176"/>
      <c r="DZ379" s="176"/>
      <c r="EA379" s="176"/>
      <c r="EB379" s="176"/>
      <c r="EC379" s="106"/>
      <c r="EE379" s="170"/>
    </row>
    <row r="380" spans="24:135" s="30" customFormat="1">
      <c r="X380" s="67"/>
      <c r="AB380" s="68"/>
      <c r="AJ380" s="74"/>
      <c r="AR380" s="74"/>
      <c r="AZ380" s="74"/>
      <c r="BG380" s="74"/>
      <c r="BN380" s="74"/>
      <c r="BV380" s="74"/>
      <c r="CC380" s="91"/>
      <c r="CD380" s="29"/>
      <c r="CE380" s="39"/>
      <c r="CF380" s="39"/>
      <c r="CG380" s="39"/>
      <c r="CH380" s="40"/>
      <c r="CI380" s="40"/>
      <c r="CJ380" s="40"/>
      <c r="CK380" s="166"/>
      <c r="CL380" s="166"/>
      <c r="CM380" s="166"/>
      <c r="CN380" s="166"/>
      <c r="CO380" s="166"/>
      <c r="CP380" s="166"/>
      <c r="CQ380" s="39"/>
      <c r="CR380" s="166"/>
      <c r="CS380" s="166"/>
      <c r="CT380" s="39"/>
      <c r="CU380" s="39"/>
      <c r="CV380" s="39"/>
      <c r="CW380" s="41"/>
      <c r="CX380" s="39"/>
      <c r="CY380" s="39"/>
      <c r="CZ380" s="41"/>
      <c r="DA380" s="41"/>
      <c r="DB380" s="41"/>
      <c r="DC380" s="41"/>
      <c r="DD380" s="39"/>
      <c r="DE380" s="39"/>
      <c r="DF380" s="41"/>
      <c r="DG380" s="41"/>
      <c r="DH380" s="41"/>
      <c r="DI380" s="42"/>
      <c r="DJ380" s="43"/>
      <c r="DK380" s="43">
        <v>0.05</v>
      </c>
      <c r="DR380" s="106"/>
      <c r="DS380" s="176"/>
      <c r="DT380" s="176"/>
      <c r="DU380" s="106"/>
      <c r="DV380" s="106"/>
      <c r="DW380" s="106"/>
      <c r="DX380" s="176"/>
      <c r="DY380" s="176"/>
      <c r="DZ380" s="176"/>
      <c r="EA380" s="176"/>
      <c r="EB380" s="176"/>
      <c r="EC380" s="106"/>
      <c r="EE380" s="170"/>
    </row>
    <row r="381" spans="24:135" s="30" customFormat="1">
      <c r="X381" s="67"/>
      <c r="AB381" s="68"/>
      <c r="AJ381" s="74"/>
      <c r="AR381" s="74"/>
      <c r="AZ381" s="74"/>
      <c r="BG381" s="74"/>
      <c r="BN381" s="74"/>
      <c r="BV381" s="74"/>
      <c r="CC381" s="91"/>
      <c r="CD381" s="29"/>
      <c r="CE381" s="39"/>
      <c r="CF381" s="39"/>
      <c r="CG381" s="39"/>
      <c r="CH381" s="40"/>
      <c r="CI381" s="40"/>
      <c r="CJ381" s="40"/>
      <c r="CK381" s="166"/>
      <c r="CL381" s="166"/>
      <c r="CM381" s="166"/>
      <c r="CN381" s="166"/>
      <c r="CO381" s="166"/>
      <c r="CP381" s="166"/>
      <c r="CQ381" s="39"/>
      <c r="CR381" s="166"/>
      <c r="CS381" s="166"/>
      <c r="CT381" s="39"/>
      <c r="CU381" s="39"/>
      <c r="CV381" s="39"/>
      <c r="CW381" s="41"/>
      <c r="CX381" s="39"/>
      <c r="CY381" s="39"/>
      <c r="CZ381" s="41"/>
      <c r="DA381" s="41"/>
      <c r="DB381" s="41"/>
      <c r="DC381" s="41"/>
      <c r="DD381" s="39"/>
      <c r="DE381" s="39"/>
      <c r="DF381" s="41"/>
      <c r="DG381" s="41"/>
      <c r="DH381" s="41"/>
      <c r="DI381" s="42"/>
      <c r="DJ381" s="43"/>
      <c r="DK381" s="43">
        <v>0.05</v>
      </c>
      <c r="DR381" s="106"/>
      <c r="DS381" s="176"/>
      <c r="DT381" s="176"/>
      <c r="DU381" s="106"/>
      <c r="DV381" s="106"/>
      <c r="DW381" s="106"/>
      <c r="DX381" s="176"/>
      <c r="DY381" s="176"/>
      <c r="DZ381" s="176"/>
      <c r="EA381" s="176"/>
      <c r="EB381" s="176"/>
      <c r="EC381" s="106"/>
      <c r="EE381" s="170"/>
    </row>
    <row r="382" spans="24:135" s="30" customFormat="1" ht="14.65" thickBot="1">
      <c r="X382" s="67"/>
      <c r="AB382" s="68"/>
      <c r="AJ382" s="74"/>
      <c r="AR382" s="74"/>
      <c r="AZ382" s="74"/>
      <c r="BG382" s="74"/>
      <c r="BN382" s="74"/>
      <c r="BV382" s="74"/>
      <c r="CC382" s="91"/>
      <c r="CD382" s="29"/>
      <c r="CE382" s="39"/>
      <c r="CF382" s="39"/>
      <c r="CG382" s="39"/>
      <c r="CH382" s="40"/>
      <c r="CI382" s="40"/>
      <c r="CJ382" s="40"/>
      <c r="CK382" s="166"/>
      <c r="CL382" s="166"/>
      <c r="CM382" s="166"/>
      <c r="CN382" s="166"/>
      <c r="CO382" s="166"/>
      <c r="CP382" s="166"/>
      <c r="CQ382" s="39"/>
      <c r="CR382" s="166"/>
      <c r="CS382" s="166"/>
      <c r="CT382" s="39"/>
      <c r="CU382" s="39"/>
      <c r="CV382" s="39"/>
      <c r="CW382" s="41"/>
      <c r="CX382" s="39"/>
      <c r="CY382" s="39"/>
      <c r="CZ382" s="41"/>
      <c r="DA382" s="41"/>
      <c r="DB382" s="41"/>
      <c r="DC382" s="41"/>
      <c r="DD382" s="39"/>
      <c r="DE382" s="39"/>
      <c r="DF382" s="41"/>
      <c r="DG382" s="41"/>
      <c r="DH382" s="41"/>
      <c r="DI382" s="42"/>
      <c r="DJ382" s="43"/>
      <c r="DK382" s="43">
        <v>0.05</v>
      </c>
      <c r="DR382" s="106"/>
      <c r="DS382" s="176"/>
      <c r="DT382" s="176"/>
      <c r="DU382" s="106"/>
      <c r="DV382" s="106"/>
      <c r="DW382" s="106"/>
      <c r="DX382" s="176"/>
      <c r="DY382" s="176"/>
      <c r="DZ382" s="176"/>
      <c r="EA382" s="176"/>
      <c r="EB382" s="176"/>
      <c r="EC382" s="106"/>
      <c r="EE382" s="170"/>
    </row>
    <row r="383" spans="24:135" s="30" customFormat="1" ht="14.65" thickBot="1">
      <c r="X383" s="67"/>
      <c r="AB383" s="68"/>
      <c r="AJ383" s="74"/>
      <c r="AR383" s="74"/>
      <c r="AZ383" s="74"/>
      <c r="BG383" s="74"/>
      <c r="BN383" s="74"/>
      <c r="BV383" s="74"/>
      <c r="CC383" s="91"/>
      <c r="CD383" s="172" t="s">
        <v>787</v>
      </c>
      <c r="CE383" s="173" t="s">
        <v>599</v>
      </c>
      <c r="CF383" s="39"/>
      <c r="CG383" s="39"/>
      <c r="CH383" s="40"/>
      <c r="CI383" s="40"/>
      <c r="CJ383" s="40"/>
      <c r="CK383" s="166"/>
      <c r="CL383" s="166"/>
      <c r="CM383" s="166"/>
      <c r="CN383" s="166"/>
      <c r="CO383" s="166"/>
      <c r="CP383" s="166"/>
      <c r="CQ383" s="39"/>
      <c r="CR383" s="166"/>
      <c r="CS383" s="166"/>
      <c r="CT383" s="39"/>
      <c r="CU383" s="39"/>
      <c r="CV383" s="39"/>
      <c r="CW383" s="41"/>
      <c r="CX383" s="39"/>
      <c r="CY383" s="39"/>
      <c r="CZ383" s="41"/>
      <c r="DA383" s="41"/>
      <c r="DB383" s="41"/>
      <c r="DC383" s="41"/>
      <c r="DD383" s="39"/>
      <c r="DE383" s="39"/>
      <c r="DF383" s="41"/>
      <c r="DG383" s="41"/>
      <c r="DH383" s="41"/>
      <c r="DI383" s="42"/>
      <c r="DJ383" s="43"/>
      <c r="DK383" s="43">
        <v>0.05</v>
      </c>
      <c r="DR383" s="106"/>
      <c r="DS383" s="176"/>
      <c r="DT383" s="176"/>
      <c r="DU383" s="106"/>
      <c r="DV383" s="106"/>
      <c r="DW383" s="106"/>
      <c r="DX383" s="176"/>
      <c r="DY383" s="176"/>
      <c r="DZ383" s="176"/>
      <c r="EA383" s="176"/>
      <c r="EB383" s="176"/>
      <c r="EC383" s="106"/>
      <c r="EE383" s="170"/>
    </row>
    <row r="384" spans="24:135" s="30" customFormat="1" ht="14.65" thickBot="1">
      <c r="X384" s="67"/>
      <c r="AB384" s="68"/>
      <c r="AJ384" s="74"/>
      <c r="AR384" s="74"/>
      <c r="AZ384" s="74"/>
      <c r="BG384" s="74"/>
      <c r="BN384" s="74"/>
      <c r="BV384" s="74"/>
      <c r="CC384" s="91"/>
      <c r="CD384" s="92">
        <v>0</v>
      </c>
      <c r="CE384" s="111">
        <v>0</v>
      </c>
      <c r="CF384" s="39"/>
      <c r="CG384" s="39"/>
      <c r="CH384" s="40"/>
      <c r="CI384" s="40"/>
      <c r="CJ384" s="40"/>
      <c r="CK384" s="166"/>
      <c r="CL384" s="166"/>
      <c r="CM384" s="166"/>
      <c r="CN384" s="166"/>
      <c r="CO384" s="166"/>
      <c r="CP384" s="166"/>
      <c r="CQ384" s="39"/>
      <c r="CR384" s="166"/>
      <c r="CS384" s="166"/>
      <c r="CT384" s="39"/>
      <c r="CU384" s="39"/>
      <c r="CV384" s="39"/>
      <c r="CW384" s="41"/>
      <c r="CX384" s="39"/>
      <c r="CY384" s="39"/>
      <c r="CZ384" s="41"/>
      <c r="DA384" s="41"/>
      <c r="DB384" s="41"/>
      <c r="DC384" s="41"/>
      <c r="DD384" s="39"/>
      <c r="DE384" s="39"/>
      <c r="DF384" s="41"/>
      <c r="DG384" s="41"/>
      <c r="DH384" s="41"/>
      <c r="DI384" s="42"/>
      <c r="DJ384" s="43"/>
      <c r="DK384" s="43">
        <v>0.05</v>
      </c>
      <c r="DR384" s="106"/>
      <c r="DS384" s="176"/>
      <c r="DT384" s="176"/>
      <c r="DU384" s="106"/>
      <c r="DV384" s="106"/>
      <c r="DW384" s="106"/>
      <c r="DX384" s="176"/>
      <c r="DY384" s="176"/>
      <c r="DZ384" s="176"/>
      <c r="EA384" s="176"/>
      <c r="EB384" s="176"/>
      <c r="EC384" s="106"/>
      <c r="EE384" s="170"/>
    </row>
    <row r="385" spans="24:135" s="30" customFormat="1" ht="14.65" thickBot="1">
      <c r="X385" s="67"/>
      <c r="AB385" s="68"/>
      <c r="AJ385" s="74"/>
      <c r="AR385" s="74"/>
      <c r="AZ385" s="74"/>
      <c r="BG385" s="74"/>
      <c r="BN385" s="74"/>
      <c r="BV385" s="74"/>
      <c r="CC385" s="91"/>
      <c r="CD385" s="92">
        <v>2</v>
      </c>
      <c r="CE385" s="111">
        <v>12.71</v>
      </c>
      <c r="CF385" s="39"/>
      <c r="CG385" s="39"/>
      <c r="CH385" s="40"/>
      <c r="CI385" s="40"/>
      <c r="CJ385" s="40"/>
      <c r="CK385" s="166"/>
      <c r="CL385" s="166"/>
      <c r="CM385" s="166"/>
      <c r="CN385" s="166"/>
      <c r="CO385" s="166"/>
      <c r="CP385" s="166"/>
      <c r="CQ385" s="39"/>
      <c r="CR385" s="166"/>
      <c r="CS385" s="166"/>
      <c r="CT385" s="39"/>
      <c r="CU385" s="39"/>
      <c r="CV385" s="39"/>
      <c r="CW385" s="41"/>
      <c r="CX385" s="39"/>
      <c r="CY385" s="39"/>
      <c r="CZ385" s="41"/>
      <c r="DA385" s="41"/>
      <c r="DB385" s="41"/>
      <c r="DC385" s="41"/>
      <c r="DD385" s="39"/>
      <c r="DE385" s="39"/>
      <c r="DF385" s="41"/>
      <c r="DG385" s="41"/>
      <c r="DH385" s="41"/>
      <c r="DI385" s="42"/>
      <c r="DJ385" s="43"/>
      <c r="DK385" s="43">
        <v>0.05</v>
      </c>
      <c r="DR385" s="106"/>
      <c r="DS385" s="176"/>
      <c r="DT385" s="176"/>
      <c r="DU385" s="106"/>
      <c r="DV385" s="106"/>
      <c r="DW385" s="106"/>
      <c r="DX385" s="176"/>
      <c r="DY385" s="176"/>
      <c r="DZ385" s="176"/>
      <c r="EA385" s="176"/>
      <c r="EB385" s="176"/>
      <c r="EC385" s="106"/>
      <c r="EE385" s="170"/>
    </row>
    <row r="386" spans="24:135" s="30" customFormat="1" ht="14.65" thickBot="1">
      <c r="X386" s="67"/>
      <c r="AB386" s="68"/>
      <c r="AJ386" s="74"/>
      <c r="AR386" s="74"/>
      <c r="AZ386" s="74"/>
      <c r="BG386" s="74"/>
      <c r="BN386" s="74"/>
      <c r="BV386" s="74"/>
      <c r="CC386" s="91"/>
      <c r="CD386" s="92">
        <v>3</v>
      </c>
      <c r="CE386" s="111">
        <v>4.3</v>
      </c>
      <c r="CF386" s="39"/>
      <c r="CG386" s="39"/>
      <c r="CH386" s="40"/>
      <c r="CI386" s="40"/>
      <c r="CJ386" s="40"/>
      <c r="CK386" s="166"/>
      <c r="CL386" s="166"/>
      <c r="CM386" s="166"/>
      <c r="CN386" s="166"/>
      <c r="CO386" s="166"/>
      <c r="CP386" s="166"/>
      <c r="CQ386" s="39"/>
      <c r="CR386" s="166"/>
      <c r="CS386" s="166"/>
      <c r="CT386" s="39"/>
      <c r="CU386" s="39"/>
      <c r="CV386" s="39"/>
      <c r="CW386" s="41"/>
      <c r="CX386" s="39"/>
      <c r="CY386" s="39"/>
      <c r="CZ386" s="41"/>
      <c r="DA386" s="41"/>
      <c r="DB386" s="41"/>
      <c r="DC386" s="41"/>
      <c r="DD386" s="39"/>
      <c r="DE386" s="39"/>
      <c r="DF386" s="41"/>
      <c r="DG386" s="41"/>
      <c r="DH386" s="41"/>
      <c r="DI386" s="42"/>
      <c r="DJ386" s="43"/>
      <c r="DK386" s="43">
        <v>0.05</v>
      </c>
    </row>
    <row r="387" spans="24:135" s="30" customFormat="1" ht="14.65" thickBot="1">
      <c r="X387" s="67"/>
      <c r="AB387" s="68"/>
      <c r="AJ387" s="74"/>
      <c r="AR387" s="74"/>
      <c r="AZ387" s="74"/>
      <c r="BG387" s="74"/>
      <c r="BN387" s="74"/>
      <c r="BV387" s="74"/>
      <c r="CC387" s="91"/>
      <c r="CD387" s="92">
        <v>4</v>
      </c>
      <c r="CE387" s="111">
        <v>3.18</v>
      </c>
      <c r="CF387" s="39"/>
      <c r="CG387" s="39"/>
      <c r="CH387" s="40"/>
      <c r="CI387" s="40"/>
      <c r="CJ387" s="40"/>
      <c r="CK387" s="166"/>
      <c r="CL387" s="166"/>
      <c r="CM387" s="166"/>
      <c r="CN387" s="166"/>
      <c r="CO387" s="166"/>
      <c r="CP387" s="166"/>
      <c r="CQ387" s="39"/>
      <c r="CR387" s="166"/>
      <c r="CS387" s="166"/>
      <c r="CT387" s="39"/>
      <c r="CU387" s="39"/>
      <c r="CV387" s="39"/>
      <c r="CW387" s="41"/>
      <c r="CX387" s="39"/>
      <c r="CY387" s="39"/>
      <c r="CZ387" s="41"/>
      <c r="DA387" s="41"/>
      <c r="DB387" s="41"/>
      <c r="DC387" s="41"/>
      <c r="DD387" s="39"/>
      <c r="DE387" s="39"/>
      <c r="DF387" s="41"/>
      <c r="DG387" s="41"/>
      <c r="DH387" s="41"/>
      <c r="DI387" s="42"/>
      <c r="DJ387" s="43"/>
      <c r="DK387" s="43">
        <v>0.05</v>
      </c>
    </row>
    <row r="388" spans="24:135" s="30" customFormat="1" ht="14.65" thickBot="1">
      <c r="X388" s="67"/>
      <c r="AB388" s="68"/>
      <c r="AJ388" s="74"/>
      <c r="AR388" s="74"/>
      <c r="AZ388" s="74"/>
      <c r="BG388" s="74"/>
      <c r="BN388" s="74"/>
      <c r="BV388" s="74"/>
      <c r="CC388" s="91"/>
      <c r="CD388" s="92">
        <v>5</v>
      </c>
      <c r="CE388" s="111">
        <v>2.78</v>
      </c>
      <c r="CF388" s="39"/>
      <c r="CG388" s="39"/>
      <c r="CH388" s="40"/>
      <c r="CI388" s="40"/>
      <c r="CJ388" s="40"/>
      <c r="CK388" s="166"/>
      <c r="CL388" s="166"/>
      <c r="CM388" s="166"/>
      <c r="CN388" s="166"/>
      <c r="CO388" s="166"/>
      <c r="CP388" s="166"/>
      <c r="CQ388" s="39"/>
      <c r="CR388" s="166"/>
      <c r="CS388" s="166"/>
      <c r="CT388" s="39"/>
      <c r="CU388" s="39"/>
      <c r="CV388" s="39"/>
      <c r="CW388" s="41"/>
      <c r="CX388" s="39"/>
      <c r="CY388" s="39"/>
      <c r="CZ388" s="41"/>
      <c r="DA388" s="41"/>
      <c r="DB388" s="41"/>
      <c r="DC388" s="41"/>
      <c r="DD388" s="39"/>
      <c r="DE388" s="39"/>
      <c r="DF388" s="41"/>
      <c r="DG388" s="41"/>
      <c r="DH388" s="41"/>
      <c r="DI388" s="42"/>
      <c r="DJ388" s="43"/>
      <c r="DK388" s="43">
        <v>0.05</v>
      </c>
    </row>
    <row r="389" spans="24:135" s="30" customFormat="1" ht="14.65" thickBot="1">
      <c r="X389" s="67"/>
      <c r="AB389" s="68"/>
      <c r="AJ389" s="74"/>
      <c r="AR389" s="74"/>
      <c r="AZ389" s="74"/>
      <c r="BG389" s="74"/>
      <c r="BN389" s="74"/>
      <c r="BV389" s="74"/>
      <c r="CC389" s="91"/>
      <c r="CD389" s="92">
        <v>6</v>
      </c>
      <c r="CE389" s="111">
        <v>2.57</v>
      </c>
      <c r="CF389" s="39"/>
      <c r="CG389" s="39"/>
      <c r="CH389" s="40"/>
      <c r="CI389" s="40"/>
      <c r="CJ389" s="40"/>
      <c r="CK389" s="166"/>
      <c r="CL389" s="166"/>
      <c r="CM389" s="166"/>
      <c r="CN389" s="166"/>
      <c r="CO389" s="166"/>
      <c r="CP389" s="166"/>
      <c r="CQ389" s="39"/>
      <c r="CR389" s="166"/>
      <c r="CS389" s="166"/>
      <c r="CT389" s="39"/>
      <c r="CU389" s="39"/>
      <c r="CV389" s="39"/>
      <c r="CW389" s="41"/>
      <c r="CX389" s="39"/>
      <c r="CY389" s="39"/>
      <c r="CZ389" s="41"/>
      <c r="DA389" s="41"/>
      <c r="DB389" s="41"/>
      <c r="DC389" s="41"/>
      <c r="DD389" s="39"/>
      <c r="DE389" s="39"/>
      <c r="DF389" s="41"/>
      <c r="DG389" s="41"/>
      <c r="DH389" s="41"/>
      <c r="DI389" s="42"/>
      <c r="DJ389" s="43">
        <v>0.05</v>
      </c>
      <c r="DK389" s="43">
        <v>0.05</v>
      </c>
    </row>
    <row r="390" spans="24:135" s="30" customFormat="1" ht="14.65" thickBot="1">
      <c r="X390" s="67"/>
      <c r="AB390" s="68"/>
      <c r="AJ390" s="74"/>
      <c r="AR390" s="74"/>
      <c r="AZ390" s="74"/>
      <c r="BG390" s="74"/>
      <c r="BN390" s="74"/>
      <c r="BV390" s="74"/>
      <c r="CC390" s="91"/>
      <c r="CD390" s="92">
        <v>7</v>
      </c>
      <c r="CE390" s="111">
        <v>2.4500000000000002</v>
      </c>
      <c r="CF390" s="39"/>
      <c r="CG390" s="39"/>
      <c r="CH390" s="40"/>
      <c r="CI390" s="40"/>
      <c r="CJ390" s="40"/>
      <c r="CK390" s="166"/>
      <c r="CL390" s="166"/>
      <c r="CM390" s="166"/>
      <c r="CN390" s="166"/>
      <c r="CO390" s="166"/>
      <c r="CP390" s="166"/>
      <c r="CQ390" s="39"/>
      <c r="CR390" s="166"/>
      <c r="CS390" s="166"/>
      <c r="CT390" s="39"/>
      <c r="CU390" s="39"/>
      <c r="CV390" s="39"/>
      <c r="CW390" s="41"/>
      <c r="CX390" s="39"/>
      <c r="CY390" s="39"/>
      <c r="CZ390" s="41"/>
      <c r="DA390" s="41"/>
      <c r="DB390" s="41"/>
      <c r="DC390" s="41"/>
      <c r="DD390" s="39"/>
      <c r="DE390" s="39"/>
      <c r="DF390" s="41"/>
      <c r="DG390" s="41"/>
      <c r="DH390" s="41"/>
      <c r="DI390" s="42"/>
      <c r="DJ390" s="43"/>
      <c r="DK390" s="43" t="e">
        <f>#REF!</f>
        <v>#REF!</v>
      </c>
    </row>
    <row r="391" spans="24:135" s="30" customFormat="1" ht="14.65" thickBot="1">
      <c r="X391" s="67"/>
      <c r="AB391" s="68"/>
      <c r="AJ391" s="74"/>
      <c r="AR391" s="74"/>
      <c r="AZ391" s="74"/>
      <c r="BG391" s="74"/>
      <c r="BN391" s="74"/>
      <c r="BV391" s="74"/>
      <c r="CC391" s="91"/>
      <c r="CD391" s="92">
        <v>8</v>
      </c>
      <c r="CE391" s="111">
        <v>2.36</v>
      </c>
      <c r="CF391" s="39"/>
      <c r="CG391" s="39"/>
      <c r="CH391" s="40"/>
      <c r="CI391" s="40"/>
      <c r="CJ391" s="40"/>
      <c r="CK391" s="166"/>
      <c r="CL391" s="166"/>
      <c r="CM391" s="166"/>
      <c r="CN391" s="166"/>
      <c r="CO391" s="166"/>
      <c r="CP391" s="166"/>
      <c r="CQ391" s="39"/>
      <c r="CR391" s="166"/>
      <c r="CS391" s="166"/>
      <c r="CT391" s="39"/>
      <c r="CU391" s="39"/>
      <c r="CV391" s="39"/>
      <c r="CW391" s="41"/>
      <c r="CX391" s="39"/>
      <c r="CY391" s="39"/>
      <c r="CZ391" s="41"/>
      <c r="DA391" s="41"/>
      <c r="DB391" s="41"/>
      <c r="DC391" s="41"/>
      <c r="DD391" s="39"/>
      <c r="DE391" s="39"/>
      <c r="DF391" s="41"/>
      <c r="DG391" s="41"/>
      <c r="DH391" s="41"/>
      <c r="DI391" s="42"/>
      <c r="DJ391" s="43"/>
      <c r="DK391" s="43" t="e">
        <f>#REF!</f>
        <v>#REF!</v>
      </c>
    </row>
    <row r="392" spans="24:135" s="30" customFormat="1" ht="14.65" thickBot="1">
      <c r="X392" s="67"/>
      <c r="AB392" s="68"/>
      <c r="AJ392" s="74"/>
      <c r="AR392" s="74"/>
      <c r="AZ392" s="74"/>
      <c r="BG392" s="74"/>
      <c r="BN392" s="74"/>
      <c r="BV392" s="74"/>
      <c r="CC392" s="91"/>
      <c r="CD392" s="92">
        <v>9</v>
      </c>
      <c r="CE392" s="111">
        <v>2.31</v>
      </c>
      <c r="CF392" s="39"/>
      <c r="CG392" s="39"/>
      <c r="CH392" s="40"/>
      <c r="CI392" s="40"/>
      <c r="CJ392" s="40"/>
      <c r="CK392" s="166"/>
      <c r="CL392" s="166"/>
      <c r="CM392" s="166"/>
      <c r="CN392" s="166"/>
      <c r="CO392" s="166"/>
      <c r="CP392" s="166"/>
      <c r="CQ392" s="39"/>
      <c r="CR392" s="166"/>
      <c r="CS392" s="166"/>
      <c r="CT392" s="39"/>
      <c r="CU392" s="39"/>
      <c r="CV392" s="39"/>
      <c r="CW392" s="41"/>
      <c r="CX392" s="39"/>
      <c r="CY392" s="39"/>
      <c r="CZ392" s="41"/>
      <c r="DA392" s="41"/>
      <c r="DB392" s="41"/>
      <c r="DC392" s="41"/>
      <c r="DD392" s="39"/>
      <c r="DE392" s="39"/>
      <c r="DF392" s="41"/>
      <c r="DG392" s="41"/>
      <c r="DH392" s="41"/>
      <c r="DI392" s="42"/>
      <c r="DJ392" s="43"/>
      <c r="DK392" s="43">
        <f>CI376</f>
        <v>0</v>
      </c>
    </row>
    <row r="393" spans="24:135" s="30" customFormat="1" ht="14.65" thickBot="1">
      <c r="X393" s="67"/>
      <c r="AB393" s="68"/>
      <c r="AJ393" s="74"/>
      <c r="AR393" s="74"/>
      <c r="AZ393" s="74"/>
      <c r="BG393" s="74"/>
      <c r="BN393" s="74"/>
      <c r="BV393" s="74"/>
      <c r="CC393" s="91"/>
      <c r="CD393" s="92">
        <v>10</v>
      </c>
      <c r="CE393" s="111">
        <v>2.2599999999999998</v>
      </c>
      <c r="CF393" s="39"/>
      <c r="CG393" s="39"/>
      <c r="CH393" s="40"/>
      <c r="CI393" s="40"/>
      <c r="CJ393" s="40"/>
      <c r="CK393" s="166"/>
      <c r="CL393" s="166"/>
      <c r="CM393" s="166"/>
      <c r="CN393" s="166"/>
      <c r="CO393" s="166"/>
      <c r="CP393" s="166"/>
      <c r="CQ393" s="39"/>
      <c r="CR393" s="166"/>
      <c r="CS393" s="166"/>
      <c r="CT393" s="39"/>
      <c r="CU393" s="39"/>
      <c r="CV393" s="39"/>
      <c r="CW393" s="41"/>
      <c r="CX393" s="39"/>
      <c r="CY393" s="39"/>
      <c r="CZ393" s="41"/>
      <c r="DA393" s="41"/>
      <c r="DB393" s="41"/>
      <c r="DC393" s="41"/>
      <c r="DD393" s="39"/>
      <c r="DE393" s="39"/>
      <c r="DF393" s="41"/>
      <c r="DG393" s="41"/>
      <c r="DH393" s="41"/>
      <c r="DI393" s="42"/>
      <c r="DJ393" s="43"/>
      <c r="DK393" s="43">
        <f t="shared" ref="DK393:DK440" si="368">CI377</f>
        <v>0</v>
      </c>
    </row>
    <row r="394" spans="24:135" s="30" customFormat="1" ht="14.65" thickBot="1">
      <c r="X394" s="67"/>
      <c r="AB394" s="68"/>
      <c r="AJ394" s="74"/>
      <c r="AR394" s="74"/>
      <c r="AZ394" s="74"/>
      <c r="BG394" s="74"/>
      <c r="BN394" s="74"/>
      <c r="BV394" s="74"/>
      <c r="CC394" s="91"/>
      <c r="CD394" s="92">
        <v>11</v>
      </c>
      <c r="CE394" s="111">
        <v>2.23</v>
      </c>
      <c r="CF394" s="39"/>
      <c r="CG394" s="39"/>
      <c r="CH394" s="40"/>
      <c r="CI394" s="40"/>
      <c r="CJ394" s="40"/>
      <c r="CK394" s="166"/>
      <c r="CL394" s="166"/>
      <c r="CM394" s="166"/>
      <c r="CN394" s="166"/>
      <c r="CO394" s="166"/>
      <c r="CP394" s="166"/>
      <c r="CQ394" s="39"/>
      <c r="CR394" s="166"/>
      <c r="CS394" s="166"/>
      <c r="CT394" s="39"/>
      <c r="CU394" s="39"/>
      <c r="CV394" s="39"/>
      <c r="CW394" s="41"/>
      <c r="CX394" s="39"/>
      <c r="CY394" s="39"/>
      <c r="CZ394" s="41"/>
      <c r="DA394" s="41"/>
      <c r="DB394" s="41"/>
      <c r="DC394" s="41"/>
      <c r="DD394" s="39"/>
      <c r="DE394" s="39"/>
      <c r="DF394" s="41"/>
      <c r="DG394" s="41"/>
      <c r="DH394" s="41"/>
      <c r="DI394" s="42"/>
      <c r="DJ394" s="43"/>
      <c r="DK394" s="43">
        <f t="shared" si="368"/>
        <v>0</v>
      </c>
    </row>
    <row r="395" spans="24:135" s="30" customFormat="1" ht="14.65" thickBot="1">
      <c r="X395" s="67"/>
      <c r="AB395" s="68"/>
      <c r="AJ395" s="74"/>
      <c r="AR395" s="74"/>
      <c r="AZ395" s="74"/>
      <c r="BG395" s="74"/>
      <c r="BN395" s="74"/>
      <c r="BV395" s="74"/>
      <c r="CC395" s="91"/>
      <c r="CD395" s="92">
        <v>12</v>
      </c>
      <c r="CE395" s="111">
        <v>2.2000000000000002</v>
      </c>
      <c r="CF395" s="39"/>
      <c r="CG395" s="39"/>
      <c r="CH395" s="40"/>
      <c r="CI395" s="40"/>
      <c r="CJ395" s="40"/>
      <c r="CK395" s="166"/>
      <c r="CL395" s="166"/>
      <c r="CM395" s="166"/>
      <c r="CN395" s="166"/>
      <c r="CO395" s="166"/>
      <c r="CP395" s="166"/>
      <c r="CQ395" s="39"/>
      <c r="CR395" s="166"/>
      <c r="CS395" s="166"/>
      <c r="CT395" s="39"/>
      <c r="CU395" s="39"/>
      <c r="CV395" s="39"/>
      <c r="CW395" s="41"/>
      <c r="CX395" s="39"/>
      <c r="CY395" s="39"/>
      <c r="CZ395" s="41"/>
      <c r="DA395" s="41"/>
      <c r="DB395" s="41"/>
      <c r="DC395" s="41"/>
      <c r="DD395" s="39"/>
      <c r="DE395" s="39"/>
      <c r="DF395" s="41"/>
      <c r="DG395" s="41"/>
      <c r="DH395" s="41"/>
      <c r="DI395" s="42"/>
      <c r="DJ395" s="43"/>
      <c r="DK395" s="43">
        <f t="shared" si="368"/>
        <v>0</v>
      </c>
    </row>
    <row r="396" spans="24:135" s="30" customFormat="1">
      <c r="X396" s="67"/>
      <c r="AB396" s="68"/>
      <c r="AJ396" s="74"/>
      <c r="AR396" s="74"/>
      <c r="AZ396" s="74"/>
      <c r="BG396" s="74"/>
      <c r="BN396" s="74"/>
      <c r="BV396" s="74"/>
      <c r="CC396" s="91"/>
      <c r="CD396" s="29"/>
      <c r="CE396" s="39"/>
      <c r="CF396" s="39"/>
      <c r="CG396" s="39"/>
      <c r="CH396" s="40"/>
      <c r="CI396" s="40"/>
      <c r="CJ396" s="40"/>
      <c r="CK396" s="166"/>
      <c r="CL396" s="166"/>
      <c r="CM396" s="166"/>
      <c r="CN396" s="166"/>
      <c r="CO396" s="166"/>
      <c r="CP396" s="166"/>
      <c r="CQ396" s="39"/>
      <c r="CR396" s="166"/>
      <c r="CS396" s="166"/>
      <c r="CT396" s="39"/>
      <c r="CU396" s="39"/>
      <c r="CV396" s="39"/>
      <c r="CW396" s="41"/>
      <c r="CX396" s="39"/>
      <c r="CY396" s="39"/>
      <c r="CZ396" s="41"/>
      <c r="DA396" s="41"/>
      <c r="DB396" s="41"/>
      <c r="DC396" s="41"/>
      <c r="DD396" s="39"/>
      <c r="DE396" s="39"/>
      <c r="DF396" s="41"/>
      <c r="DG396" s="41"/>
      <c r="DH396" s="41"/>
      <c r="DI396" s="42"/>
      <c r="DJ396" s="43"/>
      <c r="DK396" s="43">
        <f t="shared" si="368"/>
        <v>0</v>
      </c>
    </row>
    <row r="397" spans="24:135" s="30" customFormat="1">
      <c r="X397" s="67"/>
      <c r="AB397" s="68"/>
      <c r="AJ397" s="74"/>
      <c r="AR397" s="74"/>
      <c r="AZ397" s="74"/>
      <c r="BG397" s="74"/>
      <c r="BN397" s="74"/>
      <c r="BV397" s="74"/>
      <c r="CC397" s="91"/>
      <c r="CD397" s="29"/>
      <c r="CE397" s="39"/>
      <c r="CF397" s="39"/>
      <c r="CG397" s="39"/>
      <c r="CH397" s="40"/>
      <c r="CI397" s="40"/>
      <c r="CJ397" s="40"/>
      <c r="CK397" s="166"/>
      <c r="CL397" s="166"/>
      <c r="CM397" s="166"/>
      <c r="CN397" s="166"/>
      <c r="CO397" s="166"/>
      <c r="CP397" s="166"/>
      <c r="CQ397" s="39"/>
      <c r="CR397" s="166"/>
      <c r="CS397" s="166"/>
      <c r="CT397" s="39"/>
      <c r="CU397" s="39"/>
      <c r="CV397" s="39"/>
      <c r="CW397" s="41"/>
      <c r="CX397" s="39"/>
      <c r="CY397" s="39"/>
      <c r="CZ397" s="41"/>
      <c r="DA397" s="41"/>
      <c r="DB397" s="41"/>
      <c r="DC397" s="41"/>
      <c r="DD397" s="39"/>
      <c r="DE397" s="39"/>
      <c r="DF397" s="41"/>
      <c r="DG397" s="41"/>
      <c r="DH397" s="41"/>
      <c r="DI397" s="42"/>
      <c r="DJ397" s="43"/>
      <c r="DK397" s="43">
        <f t="shared" si="368"/>
        <v>0</v>
      </c>
    </row>
    <row r="398" spans="24:135" s="30" customFormat="1" ht="14.65" thickBot="1">
      <c r="X398" s="67"/>
      <c r="AB398" s="68"/>
      <c r="AJ398" s="74"/>
      <c r="AR398" s="74"/>
      <c r="AZ398" s="74"/>
      <c r="BG398" s="74"/>
      <c r="BN398" s="74"/>
      <c r="BV398" s="74"/>
      <c r="CC398" s="91"/>
      <c r="CD398" s="29"/>
      <c r="CE398" s="39"/>
      <c r="CF398" s="39"/>
      <c r="CG398" s="39"/>
      <c r="CH398" s="40"/>
      <c r="CI398" s="40"/>
      <c r="CJ398" s="40"/>
      <c r="CK398" s="166"/>
      <c r="CL398" s="166"/>
      <c r="CM398" s="166"/>
      <c r="CN398" s="166"/>
      <c r="CO398" s="166"/>
      <c r="CP398" s="166"/>
      <c r="CQ398" s="39"/>
      <c r="CR398" s="166"/>
      <c r="CS398" s="166"/>
      <c r="CT398" s="39"/>
      <c r="CU398" s="39"/>
      <c r="CV398" s="39"/>
      <c r="CW398" s="41"/>
      <c r="CX398" s="39"/>
      <c r="CY398" s="39"/>
      <c r="CZ398" s="41"/>
      <c r="DA398" s="41"/>
      <c r="DB398" s="41"/>
      <c r="DC398" s="41"/>
      <c r="DD398" s="39"/>
      <c r="DE398" s="39"/>
      <c r="DF398" s="41"/>
      <c r="DG398" s="41"/>
      <c r="DH398" s="41"/>
      <c r="DI398" s="42"/>
      <c r="DJ398" s="43"/>
      <c r="DK398" s="43">
        <f t="shared" si="368"/>
        <v>0</v>
      </c>
    </row>
    <row r="399" spans="24:135" s="30" customFormat="1" ht="14.65" thickBot="1">
      <c r="X399" s="67"/>
      <c r="AB399" s="68"/>
      <c r="AJ399" s="74"/>
      <c r="AR399" s="74"/>
      <c r="AZ399" s="74"/>
      <c r="BG399" s="74"/>
      <c r="BN399" s="74"/>
      <c r="BV399" s="74"/>
      <c r="CC399" s="91"/>
      <c r="CD399" s="172"/>
      <c r="CE399" s="172" t="s">
        <v>788</v>
      </c>
      <c r="CF399" s="172" t="s">
        <v>789</v>
      </c>
      <c r="CG399" s="172" t="s">
        <v>790</v>
      </c>
      <c r="CH399" s="40"/>
      <c r="CI399" s="40"/>
      <c r="CJ399" s="40"/>
      <c r="CK399" s="166"/>
      <c r="CL399" s="166"/>
      <c r="CM399" s="166"/>
      <c r="CN399" s="166"/>
      <c r="CO399" s="166"/>
      <c r="CP399" s="166"/>
      <c r="CQ399" s="39"/>
      <c r="CR399" s="166"/>
      <c r="CS399" s="166"/>
      <c r="CT399" s="39"/>
      <c r="CU399" s="39"/>
      <c r="CV399" s="39"/>
      <c r="CW399" s="41"/>
      <c r="CX399" s="39"/>
      <c r="CY399" s="39"/>
      <c r="CZ399" s="41"/>
      <c r="DA399" s="41"/>
      <c r="DB399" s="41"/>
      <c r="DC399" s="41"/>
      <c r="DD399" s="39"/>
      <c r="DE399" s="39"/>
      <c r="DF399" s="41"/>
      <c r="DG399" s="41"/>
      <c r="DH399" s="41"/>
      <c r="DI399" s="42"/>
      <c r="DJ399" s="43"/>
      <c r="DK399" s="43">
        <f t="shared" si="368"/>
        <v>0</v>
      </c>
    </row>
    <row r="400" spans="24:135" s="30" customFormat="1" ht="14.65" thickBot="1">
      <c r="X400" s="67"/>
      <c r="AB400" s="68"/>
      <c r="AJ400" s="74"/>
      <c r="AR400" s="74"/>
      <c r="AZ400" s="74"/>
      <c r="BG400" s="74"/>
      <c r="BN400" s="74"/>
      <c r="BV400" s="74"/>
      <c r="CC400" s="91"/>
      <c r="CD400" s="172" t="s">
        <v>791</v>
      </c>
      <c r="CE400" s="172" t="s">
        <v>792</v>
      </c>
      <c r="CF400" s="172" t="s">
        <v>792</v>
      </c>
      <c r="CG400" s="172" t="s">
        <v>792</v>
      </c>
      <c r="CH400" s="40"/>
      <c r="CI400" s="40"/>
      <c r="CJ400" s="40"/>
      <c r="CK400" s="166"/>
      <c r="CL400" s="166"/>
      <c r="CM400" s="166"/>
      <c r="CN400" s="166"/>
      <c r="CO400" s="166"/>
      <c r="CP400" s="166"/>
      <c r="CQ400" s="39"/>
      <c r="CR400" s="166"/>
      <c r="CS400" s="166"/>
      <c r="CT400" s="39"/>
      <c r="CU400" s="39"/>
      <c r="CV400" s="39"/>
      <c r="CW400" s="41"/>
      <c r="CX400" s="39"/>
      <c r="CY400" s="39"/>
      <c r="CZ400" s="41"/>
      <c r="DA400" s="41"/>
      <c r="DB400" s="41"/>
      <c r="DC400" s="41"/>
      <c r="DD400" s="39"/>
      <c r="DE400" s="39"/>
      <c r="DF400" s="41"/>
      <c r="DG400" s="41"/>
      <c r="DH400" s="41"/>
      <c r="DI400" s="42"/>
      <c r="DJ400" s="43"/>
      <c r="DK400" s="43">
        <f t="shared" si="368"/>
        <v>0</v>
      </c>
    </row>
    <row r="401" spans="24:115" s="30" customFormat="1" ht="14.65" thickBot="1">
      <c r="X401" s="67"/>
      <c r="AB401" s="68"/>
      <c r="AJ401" s="74"/>
      <c r="AR401" s="74"/>
      <c r="AZ401" s="74"/>
      <c r="BG401" s="74"/>
      <c r="BN401" s="74"/>
      <c r="BV401" s="74"/>
      <c r="CC401" s="91"/>
      <c r="CD401" s="92" t="s">
        <v>793</v>
      </c>
      <c r="CE401" s="92">
        <v>1</v>
      </c>
      <c r="CF401" s="92">
        <v>1</v>
      </c>
      <c r="CG401" s="92">
        <v>1</v>
      </c>
      <c r="CH401" s="40"/>
      <c r="CI401" s="40"/>
      <c r="CJ401" s="40"/>
      <c r="CK401" s="41"/>
      <c r="CL401" s="41"/>
      <c r="CM401" s="41"/>
      <c r="CN401" s="41"/>
      <c r="CO401" s="41"/>
      <c r="CP401" s="41"/>
      <c r="CQ401" s="41"/>
      <c r="CR401" s="41"/>
      <c r="CS401" s="41"/>
      <c r="CT401" s="41"/>
      <c r="CU401" s="41"/>
      <c r="CV401" s="41"/>
      <c r="CW401" s="41"/>
      <c r="CX401" s="39"/>
      <c r="CY401" s="39"/>
      <c r="CZ401" s="41"/>
      <c r="DA401" s="41"/>
      <c r="DB401" s="41"/>
      <c r="DC401" s="41"/>
      <c r="DD401" s="39"/>
      <c r="DE401" s="39"/>
      <c r="DF401" s="41"/>
      <c r="DG401" s="41"/>
      <c r="DH401" s="41"/>
      <c r="DI401" s="42"/>
      <c r="DJ401" s="43"/>
      <c r="DK401" s="43">
        <f t="shared" si="368"/>
        <v>0</v>
      </c>
    </row>
    <row r="402" spans="24:115" s="30" customFormat="1" ht="14.65" thickBot="1">
      <c r="X402" s="67"/>
      <c r="AB402" s="68"/>
      <c r="AJ402" s="74"/>
      <c r="AR402" s="74"/>
      <c r="AZ402" s="74"/>
      <c r="BG402" s="74"/>
      <c r="BN402" s="74"/>
      <c r="BV402" s="74"/>
      <c r="CC402" s="91"/>
      <c r="CD402" s="92" t="s">
        <v>649</v>
      </c>
      <c r="CE402" s="92">
        <v>28</v>
      </c>
      <c r="CF402" s="92">
        <v>25</v>
      </c>
      <c r="CG402" s="92">
        <v>21</v>
      </c>
      <c r="CH402" s="40"/>
      <c r="CI402" s="40"/>
      <c r="CJ402" s="40"/>
      <c r="CK402" s="41"/>
      <c r="CL402" s="41"/>
      <c r="CM402" s="41"/>
      <c r="CN402" s="41"/>
      <c r="CO402" s="41"/>
      <c r="CP402" s="41"/>
      <c r="CQ402" s="41"/>
      <c r="CR402" s="41"/>
      <c r="CS402" s="41"/>
      <c r="CT402" s="41"/>
      <c r="CU402" s="41"/>
      <c r="CV402" s="41"/>
      <c r="CW402" s="41"/>
      <c r="CX402" s="39"/>
      <c r="CY402" s="39"/>
      <c r="CZ402" s="41"/>
      <c r="DA402" s="41"/>
      <c r="DB402" s="41"/>
      <c r="DC402" s="41"/>
      <c r="DD402" s="39"/>
      <c r="DE402" s="39"/>
      <c r="DF402" s="41"/>
      <c r="DG402" s="41"/>
      <c r="DH402" s="41"/>
      <c r="DI402" s="42"/>
      <c r="DJ402" s="43"/>
      <c r="DK402" s="43">
        <f t="shared" si="368"/>
        <v>0</v>
      </c>
    </row>
    <row r="403" spans="24:115" s="30" customFormat="1" ht="14.65" thickBot="1">
      <c r="X403" s="67"/>
      <c r="AB403" s="68"/>
      <c r="AJ403" s="74"/>
      <c r="AR403" s="74"/>
      <c r="AZ403" s="74"/>
      <c r="BG403" s="74"/>
      <c r="BN403" s="74"/>
      <c r="BV403" s="74"/>
      <c r="CC403" s="91"/>
      <c r="CD403" s="92" t="s">
        <v>650</v>
      </c>
      <c r="CE403" s="92">
        <v>265</v>
      </c>
      <c r="CF403" s="92">
        <v>298</v>
      </c>
      <c r="CG403" s="92">
        <v>310</v>
      </c>
      <c r="CH403" s="40"/>
      <c r="CI403" s="40"/>
      <c r="CJ403" s="40"/>
      <c r="CK403" s="39"/>
      <c r="CL403" s="39"/>
      <c r="CM403" s="39"/>
      <c r="CN403" s="39"/>
      <c r="CO403" s="39"/>
      <c r="CP403" s="39"/>
      <c r="CQ403" s="41"/>
      <c r="CR403" s="39"/>
      <c r="CS403" s="39"/>
      <c r="CT403" s="41"/>
      <c r="CU403" s="41"/>
      <c r="CV403" s="41"/>
      <c r="CW403" s="41"/>
      <c r="CX403" s="39"/>
      <c r="CY403" s="39"/>
      <c r="CZ403" s="41"/>
      <c r="DA403" s="41"/>
      <c r="DB403" s="41"/>
      <c r="DC403" s="41"/>
      <c r="DD403" s="39"/>
      <c r="DE403" s="39"/>
      <c r="DF403" s="41"/>
      <c r="DG403" s="41"/>
      <c r="DH403" s="41"/>
      <c r="DI403" s="42"/>
      <c r="DJ403" s="43"/>
      <c r="DK403" s="43">
        <f t="shared" si="368"/>
        <v>0</v>
      </c>
    </row>
    <row r="404" spans="24:115" s="30" customFormat="1" ht="14.65" thickBot="1">
      <c r="X404" s="67"/>
      <c r="AB404" s="68"/>
      <c r="AJ404" s="74"/>
      <c r="AR404" s="74"/>
      <c r="AZ404" s="74"/>
      <c r="BG404" s="74"/>
      <c r="BN404" s="74"/>
      <c r="BV404" s="74"/>
      <c r="CC404" s="91"/>
      <c r="CD404" s="92" t="s">
        <v>447</v>
      </c>
      <c r="CE404" s="92">
        <v>23500</v>
      </c>
      <c r="CF404" s="92">
        <v>22800</v>
      </c>
      <c r="CG404" s="92" t="s">
        <v>794</v>
      </c>
      <c r="CH404" s="40"/>
      <c r="CI404" s="40"/>
      <c r="CJ404" s="40"/>
      <c r="CK404" s="39"/>
      <c r="CL404" s="39"/>
      <c r="CM404" s="39"/>
      <c r="CN404" s="39"/>
      <c r="CO404" s="39"/>
      <c r="CP404" s="39"/>
      <c r="CQ404" s="39"/>
      <c r="CR404" s="39"/>
      <c r="CS404" s="39"/>
      <c r="CT404" s="39"/>
      <c r="CU404" s="39"/>
      <c r="CV404" s="39"/>
      <c r="CW404" s="41"/>
      <c r="CX404" s="39"/>
      <c r="CY404" s="39"/>
      <c r="CZ404" s="41"/>
      <c r="DA404" s="41"/>
      <c r="DB404" s="41"/>
      <c r="DC404" s="41"/>
      <c r="DD404" s="39"/>
      <c r="DE404" s="39"/>
      <c r="DF404" s="41"/>
      <c r="DG404" s="41"/>
      <c r="DH404" s="41"/>
      <c r="DI404" s="42"/>
      <c r="DJ404" s="43"/>
      <c r="DK404" s="43">
        <f t="shared" si="368"/>
        <v>0</v>
      </c>
    </row>
    <row r="405" spans="24:115" s="30" customFormat="1" ht="14.65" thickBot="1">
      <c r="X405" s="67"/>
      <c r="AB405" s="68"/>
      <c r="AJ405" s="74"/>
      <c r="AR405" s="74"/>
      <c r="AZ405" s="74"/>
      <c r="BG405" s="74"/>
      <c r="BN405" s="74"/>
      <c r="BV405" s="74"/>
      <c r="CC405" s="91"/>
      <c r="CD405" s="92" t="s">
        <v>795</v>
      </c>
      <c r="CE405" s="92">
        <v>16100</v>
      </c>
      <c r="CF405" s="92">
        <v>17200</v>
      </c>
      <c r="CG405" s="92" t="s">
        <v>794</v>
      </c>
      <c r="CH405" s="40"/>
      <c r="CI405" s="40"/>
      <c r="CJ405" s="40"/>
      <c r="CK405" s="39"/>
      <c r="CL405" s="39"/>
      <c r="CM405" s="39"/>
      <c r="CN405" s="39"/>
      <c r="CO405" s="39"/>
      <c r="CP405" s="39"/>
      <c r="CQ405" s="39"/>
      <c r="CR405" s="39"/>
      <c r="CS405" s="39"/>
      <c r="CT405" s="39"/>
      <c r="CU405" s="39"/>
      <c r="CV405" s="39"/>
      <c r="CW405" s="41"/>
      <c r="CX405" s="39"/>
      <c r="CY405" s="39"/>
      <c r="CZ405" s="41"/>
      <c r="DA405" s="41"/>
      <c r="DB405" s="41"/>
      <c r="DC405" s="41"/>
      <c r="DD405" s="39"/>
      <c r="DE405" s="39"/>
      <c r="DF405" s="41"/>
      <c r="DG405" s="41"/>
      <c r="DH405" s="41"/>
      <c r="DI405" s="42"/>
      <c r="DJ405" s="174"/>
      <c r="DK405" s="43">
        <f t="shared" si="368"/>
        <v>0</v>
      </c>
    </row>
    <row r="406" spans="24:115" s="30" customFormat="1" ht="14.65" thickBot="1">
      <c r="X406" s="67"/>
      <c r="AB406" s="68"/>
      <c r="AJ406" s="74"/>
      <c r="AR406" s="74"/>
      <c r="AZ406" s="74"/>
      <c r="BG406" s="74"/>
      <c r="BN406" s="74"/>
      <c r="BV406" s="74"/>
      <c r="CC406" s="91"/>
      <c r="CD406" s="92"/>
      <c r="CE406" s="92"/>
      <c r="CF406" s="92"/>
      <c r="CG406" s="92"/>
      <c r="CH406" s="40"/>
      <c r="CI406" s="40"/>
      <c r="CJ406" s="40"/>
      <c r="CK406" s="39"/>
      <c r="CL406" s="39"/>
      <c r="CM406" s="39"/>
      <c r="CN406" s="39"/>
      <c r="CO406" s="39"/>
      <c r="CP406" s="39"/>
      <c r="CQ406" s="39"/>
      <c r="CR406" s="39"/>
      <c r="CS406" s="39"/>
      <c r="CT406" s="39"/>
      <c r="CU406" s="39"/>
      <c r="CV406" s="39"/>
      <c r="CW406" s="41"/>
      <c r="CX406" s="39"/>
      <c r="CY406" s="39"/>
      <c r="CZ406" s="41"/>
      <c r="DA406" s="41"/>
      <c r="DB406" s="41"/>
      <c r="DC406" s="41"/>
      <c r="DD406" s="39"/>
      <c r="DE406" s="39"/>
      <c r="DF406" s="41"/>
      <c r="DG406" s="41"/>
      <c r="DH406" s="41"/>
      <c r="DI406" s="42"/>
      <c r="DJ406" s="43"/>
      <c r="DK406" s="43">
        <f t="shared" si="368"/>
        <v>0</v>
      </c>
    </row>
    <row r="407" spans="24:115" s="30" customFormat="1" ht="14.65" thickBot="1">
      <c r="X407" s="67"/>
      <c r="AB407" s="68"/>
      <c r="AJ407" s="74"/>
      <c r="AR407" s="74"/>
      <c r="AZ407" s="74"/>
      <c r="BG407" s="74"/>
      <c r="BN407" s="74"/>
      <c r="BV407" s="74"/>
      <c r="CC407" s="91"/>
      <c r="CD407" s="92"/>
      <c r="CE407" s="92"/>
      <c r="CF407" s="92"/>
      <c r="CG407" s="92"/>
      <c r="CH407" s="40"/>
      <c r="CI407" s="40"/>
      <c r="CJ407" s="40"/>
      <c r="CK407" s="39"/>
      <c r="CL407" s="39"/>
      <c r="CM407" s="39"/>
      <c r="CN407" s="39"/>
      <c r="CO407" s="39"/>
      <c r="CP407" s="39"/>
      <c r="CQ407" s="39"/>
      <c r="CR407" s="39"/>
      <c r="CS407" s="39"/>
      <c r="CT407" s="39"/>
      <c r="CU407" s="39"/>
      <c r="CV407" s="39"/>
      <c r="CW407" s="41"/>
      <c r="CX407" s="39"/>
      <c r="CY407" s="39"/>
      <c r="CZ407" s="41"/>
      <c r="DA407" s="41"/>
      <c r="DB407" s="41"/>
      <c r="DC407" s="41"/>
      <c r="DD407" s="39"/>
      <c r="DE407" s="39"/>
      <c r="DF407" s="41"/>
      <c r="DG407" s="41"/>
      <c r="DH407" s="41"/>
      <c r="DI407" s="42"/>
      <c r="DJ407" s="43"/>
      <c r="DK407" s="43">
        <f t="shared" si="368"/>
        <v>0</v>
      </c>
    </row>
    <row r="408" spans="24:115" s="30" customFormat="1" ht="14.65" thickBot="1">
      <c r="X408" s="67"/>
      <c r="AB408" s="68"/>
      <c r="AJ408" s="74"/>
      <c r="AR408" s="74"/>
      <c r="AZ408" s="74"/>
      <c r="BG408" s="74"/>
      <c r="BN408" s="74"/>
      <c r="BV408" s="74"/>
      <c r="CC408" s="91"/>
      <c r="CD408" s="92"/>
      <c r="CE408" s="92"/>
      <c r="CF408" s="92"/>
      <c r="CG408" s="92"/>
      <c r="CH408" s="40"/>
      <c r="CI408" s="40"/>
      <c r="CJ408" s="40"/>
      <c r="CK408" s="39"/>
      <c r="CL408" s="39"/>
      <c r="CM408" s="39"/>
      <c r="CN408" s="39"/>
      <c r="CO408" s="39"/>
      <c r="CP408" s="39"/>
      <c r="CQ408" s="39"/>
      <c r="CR408" s="39"/>
      <c r="CS408" s="39"/>
      <c r="CT408" s="39"/>
      <c r="CU408" s="39"/>
      <c r="CV408" s="39"/>
      <c r="CW408" s="41"/>
      <c r="CX408" s="39"/>
      <c r="CY408" s="39"/>
      <c r="CZ408" s="41"/>
      <c r="DA408" s="41"/>
      <c r="DB408" s="41"/>
      <c r="DC408" s="41"/>
      <c r="DD408" s="39"/>
      <c r="DE408" s="39"/>
      <c r="DF408" s="41"/>
      <c r="DG408" s="41"/>
      <c r="DH408" s="41"/>
      <c r="DI408" s="42"/>
      <c r="DJ408" s="43"/>
      <c r="DK408" s="43">
        <f t="shared" si="368"/>
        <v>0</v>
      </c>
    </row>
    <row r="409" spans="24:115" s="30" customFormat="1">
      <c r="X409" s="67"/>
      <c r="AB409" s="68"/>
      <c r="AJ409" s="74"/>
      <c r="AR409" s="74"/>
      <c r="AZ409" s="74"/>
      <c r="BG409" s="74"/>
      <c r="BN409" s="74"/>
      <c r="BV409" s="74"/>
      <c r="CC409" s="91"/>
      <c r="CD409" s="29"/>
      <c r="CE409" s="39"/>
      <c r="CF409" s="39"/>
      <c r="CG409" s="39"/>
      <c r="CH409" s="40"/>
      <c r="CI409" s="40"/>
      <c r="CJ409" s="40"/>
      <c r="CK409" s="39"/>
      <c r="CL409" s="39"/>
      <c r="CM409" s="39"/>
      <c r="CN409" s="39"/>
      <c r="CO409" s="39"/>
      <c r="CP409" s="39"/>
      <c r="CQ409" s="39"/>
      <c r="CR409" s="39"/>
      <c r="CS409" s="39"/>
      <c r="CT409" s="39"/>
      <c r="CU409" s="39"/>
      <c r="CV409" s="39"/>
      <c r="CW409" s="41"/>
      <c r="CX409" s="39"/>
      <c r="CY409" s="39"/>
      <c r="CZ409" s="41"/>
      <c r="DA409" s="41"/>
      <c r="DB409" s="41"/>
      <c r="DC409" s="41"/>
      <c r="DD409" s="39"/>
      <c r="DE409" s="39"/>
      <c r="DF409" s="41"/>
      <c r="DG409" s="41"/>
      <c r="DH409" s="41"/>
      <c r="DI409" s="42"/>
      <c r="DJ409" s="43"/>
      <c r="DK409" s="43">
        <f t="shared" si="368"/>
        <v>0</v>
      </c>
    </row>
    <row r="410" spans="24:115" s="30" customFormat="1">
      <c r="X410" s="67"/>
      <c r="AB410" s="68"/>
      <c r="AJ410" s="74"/>
      <c r="AR410" s="74"/>
      <c r="AZ410" s="74"/>
      <c r="BG410" s="74"/>
      <c r="BN410" s="74"/>
      <c r="BV410" s="74"/>
      <c r="CC410" s="91"/>
      <c r="CD410" s="29"/>
      <c r="CE410" s="39"/>
      <c r="CF410" s="39"/>
      <c r="CG410" s="39"/>
      <c r="CH410" s="40"/>
      <c r="CI410" s="40"/>
      <c r="CJ410" s="40"/>
      <c r="CK410" s="39"/>
      <c r="CL410" s="39"/>
      <c r="CM410" s="39"/>
      <c r="CN410" s="39"/>
      <c r="CO410" s="39"/>
      <c r="CP410" s="39"/>
      <c r="CQ410" s="39"/>
      <c r="CR410" s="39"/>
      <c r="CS410" s="39"/>
      <c r="CT410" s="39"/>
      <c r="CU410" s="39"/>
      <c r="CV410" s="39"/>
      <c r="CW410" s="41"/>
      <c r="CX410" s="39"/>
      <c r="CY410" s="39"/>
      <c r="CZ410" s="41"/>
      <c r="DA410" s="41"/>
      <c r="DB410" s="41"/>
      <c r="DC410" s="41"/>
      <c r="DD410" s="39"/>
      <c r="DE410" s="39"/>
      <c r="DF410" s="41"/>
      <c r="DG410" s="41"/>
      <c r="DH410" s="41"/>
      <c r="DI410" s="42"/>
      <c r="DJ410" s="43"/>
      <c r="DK410" s="43">
        <f t="shared" si="368"/>
        <v>0</v>
      </c>
    </row>
    <row r="411" spans="24:115" s="30" customFormat="1">
      <c r="X411" s="67"/>
      <c r="AB411" s="68"/>
      <c r="AJ411" s="74"/>
      <c r="AR411" s="74"/>
      <c r="AZ411" s="74"/>
      <c r="BG411" s="74"/>
      <c r="BN411" s="74"/>
      <c r="BV411" s="74"/>
      <c r="CC411" s="91"/>
      <c r="CD411" s="29"/>
      <c r="CE411" s="39"/>
      <c r="CF411" s="39"/>
      <c r="CG411" s="39"/>
      <c r="CH411" s="40"/>
      <c r="CI411" s="40"/>
      <c r="CJ411" s="40"/>
      <c r="CK411" s="39"/>
      <c r="CL411" s="39"/>
      <c r="CM411" s="39"/>
      <c r="CN411" s="39"/>
      <c r="CO411" s="39"/>
      <c r="CP411" s="39"/>
      <c r="CQ411" s="39"/>
      <c r="CR411" s="39"/>
      <c r="CS411" s="39"/>
      <c r="CT411" s="39"/>
      <c r="CU411" s="39"/>
      <c r="CV411" s="39"/>
      <c r="CW411" s="41"/>
      <c r="CX411" s="39"/>
      <c r="CY411" s="39"/>
      <c r="CZ411" s="41"/>
      <c r="DA411" s="41"/>
      <c r="DB411" s="41"/>
      <c r="DC411" s="41"/>
      <c r="DD411" s="39"/>
      <c r="DE411" s="39"/>
      <c r="DF411" s="41"/>
      <c r="DG411" s="41"/>
      <c r="DH411" s="41"/>
      <c r="DI411" s="42"/>
      <c r="DJ411" s="43"/>
      <c r="DK411" s="43">
        <f t="shared" si="368"/>
        <v>0</v>
      </c>
    </row>
    <row r="412" spans="24:115" s="30" customFormat="1">
      <c r="X412" s="67"/>
      <c r="AB412" s="68"/>
      <c r="AJ412" s="74"/>
      <c r="AR412" s="74"/>
      <c r="AZ412" s="74"/>
      <c r="BG412" s="74"/>
      <c r="BN412" s="74"/>
      <c r="BV412" s="74"/>
      <c r="CC412" s="91"/>
      <c r="CD412" s="29"/>
      <c r="CE412" s="39"/>
      <c r="CF412" s="39"/>
      <c r="CG412" s="39"/>
      <c r="CH412" s="40"/>
      <c r="CI412" s="40"/>
      <c r="CJ412" s="40"/>
      <c r="CK412" s="39"/>
      <c r="CL412" s="39"/>
      <c r="CM412" s="39"/>
      <c r="CN412" s="39"/>
      <c r="CO412" s="39"/>
      <c r="CP412" s="39"/>
      <c r="CQ412" s="39"/>
      <c r="CR412" s="39"/>
      <c r="CS412" s="39"/>
      <c r="CT412" s="39"/>
      <c r="CU412" s="39"/>
      <c r="CV412" s="39"/>
      <c r="CW412" s="41"/>
      <c r="CX412" s="39"/>
      <c r="CY412" s="39"/>
      <c r="CZ412" s="41"/>
      <c r="DA412" s="41"/>
      <c r="DB412" s="41"/>
      <c r="DC412" s="41"/>
      <c r="DD412" s="39"/>
      <c r="DE412" s="39"/>
      <c r="DF412" s="41"/>
      <c r="DG412" s="41"/>
      <c r="DH412" s="41"/>
      <c r="DI412" s="42"/>
      <c r="DJ412" s="175"/>
      <c r="DK412" s="43">
        <f t="shared" si="368"/>
        <v>0</v>
      </c>
    </row>
    <row r="413" spans="24:115" s="30" customFormat="1">
      <c r="X413" s="67"/>
      <c r="AB413" s="68"/>
      <c r="AD413" s="71"/>
      <c r="AE413" s="71"/>
      <c r="AG413" s="71"/>
      <c r="AH413" s="73"/>
      <c r="AJ413" s="74"/>
      <c r="AL413" s="78"/>
      <c r="AM413" s="78"/>
      <c r="AO413" s="71"/>
      <c r="AR413" s="74"/>
      <c r="AW413" s="71"/>
      <c r="AZ413" s="74"/>
      <c r="BB413" s="71"/>
      <c r="BD413" s="71"/>
      <c r="BG413" s="74"/>
      <c r="BI413" s="71"/>
      <c r="BK413" s="71"/>
      <c r="BN413" s="74"/>
      <c r="BP413" s="71"/>
      <c r="BQ413" s="71"/>
      <c r="BS413" s="71"/>
      <c r="BV413" s="74"/>
      <c r="BX413" s="71"/>
      <c r="BZ413" s="71"/>
      <c r="CC413" s="38"/>
      <c r="CD413" s="29"/>
      <c r="CE413" s="39"/>
      <c r="CF413" s="39"/>
      <c r="CG413" s="39"/>
      <c r="CH413" s="40"/>
      <c r="CI413" s="40"/>
      <c r="CJ413" s="40"/>
      <c r="CK413" s="39"/>
      <c r="CL413" s="39"/>
      <c r="CM413" s="39"/>
      <c r="CN413" s="39"/>
      <c r="CO413" s="39"/>
      <c r="CP413" s="39"/>
      <c r="CQ413" s="39"/>
      <c r="CR413" s="39"/>
      <c r="CS413" s="39"/>
      <c r="CT413" s="39"/>
      <c r="CU413" s="39"/>
      <c r="CV413" s="39"/>
      <c r="CW413" s="41"/>
      <c r="CX413" s="39"/>
      <c r="CY413" s="39"/>
      <c r="CZ413" s="41"/>
      <c r="DA413" s="41"/>
      <c r="DB413" s="41"/>
      <c r="DC413" s="41"/>
      <c r="DD413" s="39"/>
      <c r="DE413" s="39"/>
      <c r="DF413" s="41"/>
      <c r="DG413" s="41"/>
      <c r="DH413" s="41"/>
      <c r="DI413" s="42"/>
      <c r="DJ413" s="43"/>
      <c r="DK413" s="43">
        <f t="shared" si="368"/>
        <v>0</v>
      </c>
    </row>
    <row r="414" spans="24:115" s="30" customFormat="1">
      <c r="X414" s="67"/>
      <c r="AB414" s="68"/>
      <c r="AD414" s="71"/>
      <c r="AE414" s="71"/>
      <c r="AG414" s="71"/>
      <c r="AH414" s="73"/>
      <c r="AJ414" s="74"/>
      <c r="AL414" s="78"/>
      <c r="AM414" s="78"/>
      <c r="AO414" s="71"/>
      <c r="AR414" s="74"/>
      <c r="AW414" s="71"/>
      <c r="AZ414" s="74"/>
      <c r="BB414" s="71"/>
      <c r="BD414" s="71"/>
      <c r="BG414" s="74"/>
      <c r="BI414" s="71"/>
      <c r="BK414" s="71"/>
      <c r="BN414" s="74"/>
      <c r="BP414" s="71"/>
      <c r="BQ414" s="71"/>
      <c r="BS414" s="71"/>
      <c r="BV414" s="74"/>
      <c r="BX414" s="71"/>
      <c r="BZ414" s="71"/>
      <c r="CC414" s="38"/>
      <c r="CD414" s="29"/>
      <c r="CE414" s="39"/>
      <c r="CF414" s="39"/>
      <c r="CG414" s="39"/>
      <c r="CH414" s="40"/>
      <c r="CI414" s="40"/>
      <c r="CJ414" s="40"/>
      <c r="CK414" s="39"/>
      <c r="CL414" s="39"/>
      <c r="CM414" s="39"/>
      <c r="CN414" s="39"/>
      <c r="CO414" s="39"/>
      <c r="CP414" s="39"/>
      <c r="CQ414" s="39"/>
      <c r="CR414" s="39"/>
      <c r="CS414" s="39"/>
      <c r="CT414" s="39"/>
      <c r="CU414" s="39"/>
      <c r="CV414" s="39"/>
      <c r="CW414" s="41"/>
      <c r="CX414" s="39"/>
      <c r="CY414" s="39"/>
      <c r="CZ414" s="41"/>
      <c r="DA414" s="41"/>
      <c r="DB414" s="41"/>
      <c r="DC414" s="41"/>
      <c r="DD414" s="39"/>
      <c r="DE414" s="39"/>
      <c r="DF414" s="41"/>
      <c r="DG414" s="41"/>
      <c r="DH414" s="41"/>
      <c r="DI414" s="42"/>
      <c r="DJ414" s="43"/>
      <c r="DK414" s="43">
        <f t="shared" si="368"/>
        <v>0</v>
      </c>
    </row>
    <row r="415" spans="24:115" s="30" customFormat="1">
      <c r="X415" s="67"/>
      <c r="AB415" s="68"/>
      <c r="AD415" s="71"/>
      <c r="AE415" s="71"/>
      <c r="AG415" s="71"/>
      <c r="AH415" s="73"/>
      <c r="AJ415" s="74"/>
      <c r="AL415" s="78"/>
      <c r="AM415" s="78"/>
      <c r="AO415" s="71"/>
      <c r="AR415" s="74"/>
      <c r="AW415" s="71"/>
      <c r="AZ415" s="74"/>
      <c r="BB415" s="71"/>
      <c r="BD415" s="71"/>
      <c r="BG415" s="74"/>
      <c r="BI415" s="71"/>
      <c r="BK415" s="71"/>
      <c r="BN415" s="74"/>
      <c r="BP415" s="71"/>
      <c r="BQ415" s="71"/>
      <c r="BS415" s="71"/>
      <c r="BV415" s="74"/>
      <c r="BX415" s="71"/>
      <c r="BZ415" s="71"/>
      <c r="CC415" s="38"/>
      <c r="CD415" s="29"/>
      <c r="CE415" s="39"/>
      <c r="CF415" s="39"/>
      <c r="CG415" s="39"/>
      <c r="CH415" s="40"/>
      <c r="CI415" s="40"/>
      <c r="CJ415" s="40"/>
      <c r="CK415" s="39"/>
      <c r="CL415" s="39"/>
      <c r="CM415" s="39"/>
      <c r="CN415" s="39"/>
      <c r="CO415" s="39"/>
      <c r="CP415" s="39"/>
      <c r="CQ415" s="39"/>
      <c r="CR415" s="39"/>
      <c r="CS415" s="39"/>
      <c r="CT415" s="39"/>
      <c r="CU415" s="39"/>
      <c r="CV415" s="39"/>
      <c r="CW415" s="41"/>
      <c r="CX415" s="39"/>
      <c r="CY415" s="39"/>
      <c r="CZ415" s="41"/>
      <c r="DA415" s="41"/>
      <c r="DB415" s="41"/>
      <c r="DC415" s="41"/>
      <c r="DD415" s="39"/>
      <c r="DE415" s="39"/>
      <c r="DF415" s="41"/>
      <c r="DG415" s="41"/>
      <c r="DH415" s="41"/>
      <c r="DI415" s="42"/>
      <c r="DJ415" s="43"/>
      <c r="DK415" s="43">
        <f t="shared" si="368"/>
        <v>0</v>
      </c>
    </row>
    <row r="416" spans="24:115" s="30" customFormat="1" ht="25.5" customHeight="1">
      <c r="X416" s="67"/>
      <c r="AB416" s="68"/>
      <c r="AD416" s="71"/>
      <c r="AE416" s="71"/>
      <c r="AG416" s="71"/>
      <c r="AH416" s="73"/>
      <c r="AJ416" s="74"/>
      <c r="AL416" s="78"/>
      <c r="AM416" s="78"/>
      <c r="AO416" s="71"/>
      <c r="AR416" s="74"/>
      <c r="AW416" s="71"/>
      <c r="AZ416" s="74"/>
      <c r="BB416" s="71"/>
      <c r="BD416" s="71"/>
      <c r="BG416" s="74"/>
      <c r="BI416" s="71"/>
      <c r="BK416" s="71"/>
      <c r="BN416" s="74"/>
      <c r="BP416" s="71"/>
      <c r="BQ416" s="71"/>
      <c r="BS416" s="71"/>
      <c r="BV416" s="74"/>
      <c r="BX416" s="71"/>
      <c r="BZ416" s="71"/>
      <c r="CC416" s="38"/>
      <c r="CD416" s="29"/>
      <c r="CE416" s="39"/>
      <c r="CF416" s="39"/>
      <c r="CG416" s="39"/>
      <c r="CH416" s="40"/>
      <c r="CI416" s="40"/>
      <c r="CJ416" s="40"/>
      <c r="CK416" s="39"/>
      <c r="CL416" s="39"/>
      <c r="CM416" s="39"/>
      <c r="CN416" s="39"/>
      <c r="CO416" s="39"/>
      <c r="CP416" s="39"/>
      <c r="CQ416" s="39"/>
      <c r="CR416" s="39"/>
      <c r="CS416" s="39"/>
      <c r="CT416" s="39"/>
      <c r="CU416" s="39"/>
      <c r="CV416" s="39"/>
      <c r="CW416" s="41"/>
      <c r="CX416" s="39"/>
      <c r="CY416" s="39"/>
      <c r="CZ416" s="41"/>
      <c r="DA416" s="41"/>
      <c r="DB416" s="41"/>
      <c r="DC416" s="41"/>
      <c r="DD416" s="39"/>
      <c r="DE416" s="39"/>
      <c r="DF416" s="41"/>
      <c r="DG416" s="41"/>
      <c r="DH416" s="41"/>
      <c r="DI416" s="42"/>
      <c r="DJ416" s="43"/>
      <c r="DK416" s="43">
        <f t="shared" si="368"/>
        <v>0</v>
      </c>
    </row>
    <row r="417" spans="24:115" s="30" customFormat="1">
      <c r="X417" s="67"/>
      <c r="AB417" s="68"/>
      <c r="AD417" s="71"/>
      <c r="AE417" s="71"/>
      <c r="AG417" s="71"/>
      <c r="AH417" s="73"/>
      <c r="AJ417" s="74"/>
      <c r="AL417" s="78"/>
      <c r="AM417" s="78"/>
      <c r="AO417" s="71"/>
      <c r="AR417" s="74"/>
      <c r="AW417" s="71"/>
      <c r="AZ417" s="74"/>
      <c r="BB417" s="71"/>
      <c r="BD417" s="71"/>
      <c r="BG417" s="74"/>
      <c r="BI417" s="71"/>
      <c r="BK417" s="71"/>
      <c r="BN417" s="74"/>
      <c r="BP417" s="71"/>
      <c r="BQ417" s="71"/>
      <c r="BS417" s="71"/>
      <c r="BV417" s="74"/>
      <c r="BX417" s="71"/>
      <c r="BZ417" s="71"/>
      <c r="CC417" s="38"/>
      <c r="CD417" s="29"/>
      <c r="CE417" s="39"/>
      <c r="CF417" s="39"/>
      <c r="CG417" s="39"/>
      <c r="CH417" s="40"/>
      <c r="CI417" s="40"/>
      <c r="CJ417" s="40"/>
      <c r="CK417" s="39"/>
      <c r="CL417" s="39"/>
      <c r="CM417" s="39"/>
      <c r="CN417" s="39"/>
      <c r="CO417" s="39"/>
      <c r="CP417" s="39"/>
      <c r="CQ417" s="39"/>
      <c r="CR417" s="39"/>
      <c r="CS417" s="39"/>
      <c r="CT417" s="39"/>
      <c r="CU417" s="39"/>
      <c r="CV417" s="39"/>
      <c r="CW417" s="41"/>
      <c r="CX417" s="39"/>
      <c r="CY417" s="39"/>
      <c r="CZ417" s="41"/>
      <c r="DA417" s="41"/>
      <c r="DB417" s="41"/>
      <c r="DC417" s="41"/>
      <c r="DD417" s="39"/>
      <c r="DE417" s="39"/>
      <c r="DF417" s="41"/>
      <c r="DG417" s="41"/>
      <c r="DH417" s="41"/>
      <c r="DI417" s="42"/>
      <c r="DJ417" s="43"/>
      <c r="DK417" s="43">
        <f t="shared" si="368"/>
        <v>0</v>
      </c>
    </row>
    <row r="418" spans="24:115" s="30" customFormat="1">
      <c r="X418" s="67"/>
      <c r="AB418" s="68"/>
      <c r="AD418" s="71"/>
      <c r="AE418" s="71"/>
      <c r="AG418" s="71"/>
      <c r="AH418" s="73"/>
      <c r="AJ418" s="74"/>
      <c r="AL418" s="78"/>
      <c r="AM418" s="78"/>
      <c r="AO418" s="71"/>
      <c r="AR418" s="74"/>
      <c r="AW418" s="71"/>
      <c r="AZ418" s="74"/>
      <c r="BB418" s="71"/>
      <c r="BD418" s="71"/>
      <c r="BG418" s="74"/>
      <c r="BI418" s="71"/>
      <c r="BK418" s="71"/>
      <c r="BN418" s="74"/>
      <c r="BP418" s="71"/>
      <c r="BQ418" s="71"/>
      <c r="BS418" s="71"/>
      <c r="BV418" s="74"/>
      <c r="BX418" s="71"/>
      <c r="BZ418" s="71"/>
      <c r="CC418" s="38"/>
      <c r="CD418" s="29"/>
      <c r="CE418" s="39"/>
      <c r="CF418" s="39"/>
      <c r="CG418" s="39"/>
      <c r="CH418" s="40"/>
      <c r="CI418" s="40"/>
      <c r="CJ418" s="40"/>
      <c r="CK418" s="39"/>
      <c r="CL418" s="39"/>
      <c r="CM418" s="39"/>
      <c r="CN418" s="39"/>
      <c r="CO418" s="39"/>
      <c r="CP418" s="39"/>
      <c r="CQ418" s="39"/>
      <c r="CR418" s="39"/>
      <c r="CS418" s="39"/>
      <c r="CT418" s="39"/>
      <c r="CU418" s="39"/>
      <c r="CV418" s="39"/>
      <c r="CW418" s="41"/>
      <c r="CX418" s="39"/>
      <c r="CY418" s="39"/>
      <c r="CZ418" s="41"/>
      <c r="DA418" s="41"/>
      <c r="DB418" s="41"/>
      <c r="DC418" s="41"/>
      <c r="DD418" s="39"/>
      <c r="DE418" s="39"/>
      <c r="DF418" s="41"/>
      <c r="DG418" s="41"/>
      <c r="DH418" s="41"/>
      <c r="DI418" s="42"/>
      <c r="DJ418" s="43"/>
      <c r="DK418" s="43">
        <f t="shared" si="368"/>
        <v>0</v>
      </c>
    </row>
    <row r="419" spans="24:115" s="30" customFormat="1">
      <c r="X419" s="67"/>
      <c r="AB419" s="68"/>
      <c r="AD419" s="71"/>
      <c r="AE419" s="71"/>
      <c r="AG419" s="71"/>
      <c r="AH419" s="73"/>
      <c r="AJ419" s="74"/>
      <c r="AL419" s="78"/>
      <c r="AM419" s="78"/>
      <c r="AO419" s="71"/>
      <c r="AR419" s="74"/>
      <c r="AW419" s="71"/>
      <c r="AZ419" s="74"/>
      <c r="BB419" s="71"/>
      <c r="BD419" s="71"/>
      <c r="BG419" s="74"/>
      <c r="BI419" s="71"/>
      <c r="BK419" s="71"/>
      <c r="BN419" s="74"/>
      <c r="BP419" s="71"/>
      <c r="BQ419" s="71"/>
      <c r="BS419" s="71"/>
      <c r="BV419" s="74"/>
      <c r="BX419" s="71"/>
      <c r="BZ419" s="71"/>
      <c r="CC419" s="38"/>
      <c r="CD419" s="29"/>
      <c r="CE419" s="39"/>
      <c r="CF419" s="39"/>
      <c r="CG419" s="39"/>
      <c r="CH419" s="40"/>
      <c r="CI419" s="40"/>
      <c r="CJ419" s="40"/>
      <c r="CK419" s="39"/>
      <c r="CL419" s="39"/>
      <c r="CM419" s="39"/>
      <c r="CN419" s="39"/>
      <c r="CO419" s="39"/>
      <c r="CP419" s="39"/>
      <c r="CQ419" s="39"/>
      <c r="CR419" s="39"/>
      <c r="CS419" s="39"/>
      <c r="CT419" s="39"/>
      <c r="CU419" s="39"/>
      <c r="CV419" s="39"/>
      <c r="CW419" s="41"/>
      <c r="CX419" s="39"/>
      <c r="CY419" s="39"/>
      <c r="CZ419" s="41"/>
      <c r="DA419" s="41"/>
      <c r="DB419" s="41"/>
      <c r="DC419" s="41"/>
      <c r="DD419" s="39"/>
      <c r="DE419" s="39"/>
      <c r="DF419" s="41"/>
      <c r="DG419" s="41"/>
      <c r="DH419" s="41"/>
      <c r="DI419" s="42"/>
      <c r="DJ419" s="43"/>
      <c r="DK419" s="43">
        <f t="shared" si="368"/>
        <v>0</v>
      </c>
    </row>
    <row r="420" spans="24:115" s="30" customFormat="1">
      <c r="X420" s="67"/>
      <c r="AB420" s="68"/>
      <c r="AD420" s="71"/>
      <c r="AE420" s="71"/>
      <c r="AG420" s="71"/>
      <c r="AH420" s="73"/>
      <c r="AJ420" s="74"/>
      <c r="AL420" s="78"/>
      <c r="AM420" s="78"/>
      <c r="AO420" s="71"/>
      <c r="AR420" s="74"/>
      <c r="AW420" s="71"/>
      <c r="AZ420" s="74"/>
      <c r="BB420" s="71"/>
      <c r="BD420" s="71"/>
      <c r="BG420" s="74"/>
      <c r="BI420" s="71"/>
      <c r="BK420" s="71"/>
      <c r="BN420" s="74"/>
      <c r="BP420" s="71"/>
      <c r="BQ420" s="71"/>
      <c r="BS420" s="71"/>
      <c r="BV420" s="74"/>
      <c r="BX420" s="71"/>
      <c r="BZ420" s="71"/>
      <c r="CC420" s="38"/>
      <c r="CD420" s="29"/>
      <c r="CE420" s="39"/>
      <c r="CF420" s="39"/>
      <c r="CG420" s="39"/>
      <c r="CH420" s="40"/>
      <c r="CI420" s="40"/>
      <c r="CJ420" s="40"/>
      <c r="CK420" s="39"/>
      <c r="CL420" s="39"/>
      <c r="CM420" s="39"/>
      <c r="CN420" s="39"/>
      <c r="CO420" s="39"/>
      <c r="CP420" s="39"/>
      <c r="CQ420" s="39"/>
      <c r="CR420" s="39"/>
      <c r="CS420" s="39"/>
      <c r="CT420" s="39"/>
      <c r="CU420" s="39"/>
      <c r="CV420" s="39"/>
      <c r="CW420" s="41"/>
      <c r="CX420" s="39"/>
      <c r="CY420" s="39"/>
      <c r="CZ420" s="41"/>
      <c r="DA420" s="41"/>
      <c r="DB420" s="41"/>
      <c r="DC420" s="41"/>
      <c r="DD420" s="39"/>
      <c r="DE420" s="39"/>
      <c r="DF420" s="41"/>
      <c r="DG420" s="41"/>
      <c r="DH420" s="41"/>
      <c r="DI420" s="42"/>
      <c r="DJ420" s="43"/>
      <c r="DK420" s="43">
        <f t="shared" si="368"/>
        <v>0</v>
      </c>
    </row>
    <row r="421" spans="24:115" s="30" customFormat="1">
      <c r="X421" s="67"/>
      <c r="AB421" s="68"/>
      <c r="AD421" s="71"/>
      <c r="AE421" s="71"/>
      <c r="AG421" s="71"/>
      <c r="AH421" s="73"/>
      <c r="AJ421" s="74"/>
      <c r="AL421" s="78"/>
      <c r="AM421" s="78"/>
      <c r="AO421" s="71"/>
      <c r="AR421" s="74"/>
      <c r="AW421" s="71"/>
      <c r="AZ421" s="74"/>
      <c r="BB421" s="71"/>
      <c r="BD421" s="71"/>
      <c r="BG421" s="74"/>
      <c r="BI421" s="71"/>
      <c r="BK421" s="71"/>
      <c r="BN421" s="74"/>
      <c r="BP421" s="71"/>
      <c r="BQ421" s="71"/>
      <c r="BS421" s="71"/>
      <c r="BV421" s="74"/>
      <c r="BX421" s="71"/>
      <c r="BZ421" s="71"/>
      <c r="CC421" s="38"/>
      <c r="CD421" s="29"/>
      <c r="CE421" s="39"/>
      <c r="CF421" s="39"/>
      <c r="CG421" s="39"/>
      <c r="CH421" s="40"/>
      <c r="CI421" s="40"/>
      <c r="CJ421" s="40"/>
      <c r="CK421" s="39"/>
      <c r="CL421" s="39"/>
      <c r="CM421" s="39"/>
      <c r="CN421" s="39"/>
      <c r="CO421" s="39"/>
      <c r="CP421" s="39"/>
      <c r="CQ421" s="39"/>
      <c r="CR421" s="39"/>
      <c r="CS421" s="39"/>
      <c r="CT421" s="39"/>
      <c r="CU421" s="39"/>
      <c r="CV421" s="39"/>
      <c r="CW421" s="41"/>
      <c r="CX421" s="39"/>
      <c r="CY421" s="39"/>
      <c r="CZ421" s="41"/>
      <c r="DA421" s="41"/>
      <c r="DB421" s="41"/>
      <c r="DC421" s="41"/>
      <c r="DD421" s="39"/>
      <c r="DE421" s="39"/>
      <c r="DF421" s="41"/>
      <c r="DG421" s="41"/>
      <c r="DH421" s="41"/>
      <c r="DI421" s="42"/>
      <c r="DJ421" s="43"/>
      <c r="DK421" s="43">
        <f t="shared" si="368"/>
        <v>0</v>
      </c>
    </row>
    <row r="422" spans="24:115" s="30" customFormat="1">
      <c r="X422" s="67"/>
      <c r="AB422" s="68"/>
      <c r="AD422" s="71"/>
      <c r="AE422" s="71"/>
      <c r="AG422" s="71"/>
      <c r="AH422" s="73"/>
      <c r="AJ422" s="74"/>
      <c r="AL422" s="78"/>
      <c r="AM422" s="78"/>
      <c r="AO422" s="71"/>
      <c r="AR422" s="74"/>
      <c r="AW422" s="71"/>
      <c r="AZ422" s="74"/>
      <c r="BB422" s="71"/>
      <c r="BD422" s="71"/>
      <c r="BG422" s="74"/>
      <c r="BI422" s="71"/>
      <c r="BK422" s="71"/>
      <c r="BN422" s="74"/>
      <c r="BP422" s="71"/>
      <c r="BQ422" s="71"/>
      <c r="BS422" s="71"/>
      <c r="BV422" s="74"/>
      <c r="BX422" s="71"/>
      <c r="BZ422" s="71"/>
      <c r="CC422" s="38"/>
      <c r="CD422" s="29"/>
      <c r="CE422" s="39"/>
      <c r="CF422" s="39"/>
      <c r="CG422" s="39"/>
      <c r="CH422" s="40"/>
      <c r="CI422" s="40"/>
      <c r="CJ422" s="40"/>
      <c r="CK422" s="39"/>
      <c r="CL422" s="39"/>
      <c r="CM422" s="39"/>
      <c r="CN422" s="39"/>
      <c r="CO422" s="39"/>
      <c r="CP422" s="39"/>
      <c r="CQ422" s="39"/>
      <c r="CR422" s="39"/>
      <c r="CS422" s="39"/>
      <c r="CT422" s="39"/>
      <c r="CU422" s="39"/>
      <c r="CV422" s="39"/>
      <c r="CW422" s="41"/>
      <c r="CX422" s="39"/>
      <c r="CY422" s="39"/>
      <c r="CZ422" s="41"/>
      <c r="DA422" s="41"/>
      <c r="DB422" s="41"/>
      <c r="DC422" s="41"/>
      <c r="DD422" s="39"/>
      <c r="DE422" s="39"/>
      <c r="DF422" s="41"/>
      <c r="DG422" s="41"/>
      <c r="DH422" s="41"/>
      <c r="DI422" s="42"/>
      <c r="DJ422" s="43"/>
      <c r="DK422" s="43">
        <f t="shared" si="368"/>
        <v>0</v>
      </c>
    </row>
    <row r="423" spans="24:115" s="30" customFormat="1">
      <c r="X423" s="67"/>
      <c r="AB423" s="68"/>
      <c r="AD423" s="71"/>
      <c r="AE423" s="71"/>
      <c r="AG423" s="71"/>
      <c r="AH423" s="73"/>
      <c r="AJ423" s="74"/>
      <c r="AL423" s="78"/>
      <c r="AM423" s="78"/>
      <c r="AO423" s="71"/>
      <c r="AR423" s="74"/>
      <c r="AW423" s="71"/>
      <c r="AZ423" s="74"/>
      <c r="BB423" s="71"/>
      <c r="BD423" s="71"/>
      <c r="BG423" s="74"/>
      <c r="BI423" s="71"/>
      <c r="BK423" s="71"/>
      <c r="BN423" s="74"/>
      <c r="BP423" s="71"/>
      <c r="BQ423" s="71"/>
      <c r="BS423" s="71"/>
      <c r="BV423" s="74"/>
      <c r="BX423" s="71"/>
      <c r="BZ423" s="71"/>
      <c r="CC423" s="38"/>
      <c r="CD423" s="29"/>
      <c r="CE423" s="39"/>
      <c r="CF423" s="39"/>
      <c r="CG423" s="39"/>
      <c r="CH423" s="40"/>
      <c r="CI423" s="40"/>
      <c r="CJ423" s="40"/>
      <c r="CK423" s="39"/>
      <c r="CL423" s="39"/>
      <c r="CM423" s="39"/>
      <c r="CN423" s="39"/>
      <c r="CO423" s="39"/>
      <c r="CP423" s="39"/>
      <c r="CQ423" s="39"/>
      <c r="CR423" s="39"/>
      <c r="CS423" s="39"/>
      <c r="CT423" s="39"/>
      <c r="CU423" s="39"/>
      <c r="CV423" s="39"/>
      <c r="CW423" s="41"/>
      <c r="CX423" s="39"/>
      <c r="CY423" s="39"/>
      <c r="CZ423" s="41"/>
      <c r="DA423" s="41"/>
      <c r="DB423" s="41"/>
      <c r="DC423" s="41"/>
      <c r="DD423" s="39"/>
      <c r="DE423" s="39"/>
      <c r="DF423" s="41"/>
      <c r="DG423" s="41"/>
      <c r="DH423" s="41"/>
      <c r="DI423" s="42"/>
      <c r="DJ423" s="43"/>
      <c r="DK423" s="43">
        <f t="shared" si="368"/>
        <v>0</v>
      </c>
    </row>
    <row r="424" spans="24:115" s="30" customFormat="1">
      <c r="X424" s="67"/>
      <c r="AB424" s="68"/>
      <c r="AD424" s="71"/>
      <c r="AE424" s="71"/>
      <c r="AG424" s="71"/>
      <c r="AH424" s="73"/>
      <c r="AJ424" s="74"/>
      <c r="AL424" s="78"/>
      <c r="AM424" s="78"/>
      <c r="AO424" s="71"/>
      <c r="AR424" s="74"/>
      <c r="AW424" s="71"/>
      <c r="AZ424" s="74"/>
      <c r="BB424" s="71"/>
      <c r="BD424" s="71"/>
      <c r="BG424" s="74"/>
      <c r="BI424" s="71"/>
      <c r="BK424" s="71"/>
      <c r="BN424" s="74"/>
      <c r="BP424" s="71"/>
      <c r="BQ424" s="71"/>
      <c r="BS424" s="71"/>
      <c r="BV424" s="74"/>
      <c r="BX424" s="71"/>
      <c r="BZ424" s="71"/>
      <c r="CC424" s="38"/>
      <c r="CD424" s="29"/>
      <c r="CE424" s="39"/>
      <c r="CF424" s="39"/>
      <c r="CG424" s="39"/>
      <c r="CH424" s="40"/>
      <c r="CI424" s="40"/>
      <c r="CJ424" s="40"/>
      <c r="CK424" s="39"/>
      <c r="CL424" s="39"/>
      <c r="CM424" s="39"/>
      <c r="CN424" s="39"/>
      <c r="CO424" s="39"/>
      <c r="CP424" s="39"/>
      <c r="CQ424" s="39"/>
      <c r="CR424" s="39"/>
      <c r="CS424" s="39"/>
      <c r="CT424" s="39"/>
      <c r="CU424" s="39"/>
      <c r="CV424" s="39"/>
      <c r="CW424" s="41"/>
      <c r="CX424" s="39"/>
      <c r="CY424" s="39"/>
      <c r="CZ424" s="41"/>
      <c r="DA424" s="41"/>
      <c r="DB424" s="41"/>
      <c r="DC424" s="41"/>
      <c r="DD424" s="39"/>
      <c r="DE424" s="39"/>
      <c r="DF424" s="41"/>
      <c r="DG424" s="41"/>
      <c r="DH424" s="41"/>
      <c r="DI424" s="42"/>
      <c r="DJ424" s="43"/>
      <c r="DK424" s="43">
        <f t="shared" si="368"/>
        <v>0</v>
      </c>
    </row>
    <row r="425" spans="24:115" s="30" customFormat="1">
      <c r="X425" s="67"/>
      <c r="AB425" s="68"/>
      <c r="AD425" s="71"/>
      <c r="AE425" s="71"/>
      <c r="AG425" s="71"/>
      <c r="AH425" s="73"/>
      <c r="AJ425" s="74"/>
      <c r="AL425" s="78"/>
      <c r="AM425" s="78"/>
      <c r="AO425" s="71"/>
      <c r="AR425" s="74"/>
      <c r="AW425" s="71"/>
      <c r="AZ425" s="74"/>
      <c r="BB425" s="71"/>
      <c r="BD425" s="71"/>
      <c r="BG425" s="74"/>
      <c r="BI425" s="71"/>
      <c r="BK425" s="71"/>
      <c r="BN425" s="74"/>
      <c r="BP425" s="71"/>
      <c r="BQ425" s="71"/>
      <c r="BS425" s="71"/>
      <c r="BV425" s="74"/>
      <c r="BX425" s="71"/>
      <c r="BZ425" s="71"/>
      <c r="CC425" s="38"/>
      <c r="CD425" s="29"/>
      <c r="CE425" s="39"/>
      <c r="CF425" s="39"/>
      <c r="CG425" s="39"/>
      <c r="CH425" s="40"/>
      <c r="CI425" s="40"/>
      <c r="CJ425" s="40"/>
      <c r="CK425" s="39"/>
      <c r="CL425" s="39"/>
      <c r="CM425" s="39"/>
      <c r="CN425" s="39"/>
      <c r="CO425" s="39"/>
      <c r="CP425" s="39"/>
      <c r="CQ425" s="39"/>
      <c r="CR425" s="39"/>
      <c r="CS425" s="39"/>
      <c r="CT425" s="39"/>
      <c r="CU425" s="39"/>
      <c r="CV425" s="39"/>
      <c r="CW425" s="41"/>
      <c r="CX425" s="39"/>
      <c r="CY425" s="39"/>
      <c r="CZ425" s="41"/>
      <c r="DA425" s="41"/>
      <c r="DB425" s="41"/>
      <c r="DC425" s="41"/>
      <c r="DD425" s="39"/>
      <c r="DE425" s="39"/>
      <c r="DF425" s="41"/>
      <c r="DG425" s="41"/>
      <c r="DH425" s="41"/>
      <c r="DI425" s="42"/>
      <c r="DJ425" s="43"/>
      <c r="DK425" s="43">
        <f t="shared" si="368"/>
        <v>0</v>
      </c>
    </row>
    <row r="426" spans="24:115" s="30" customFormat="1">
      <c r="X426" s="67"/>
      <c r="AB426" s="68"/>
      <c r="AD426" s="71"/>
      <c r="AE426" s="71"/>
      <c r="AG426" s="71"/>
      <c r="AH426" s="73"/>
      <c r="AJ426" s="74"/>
      <c r="AL426" s="78"/>
      <c r="AM426" s="78"/>
      <c r="AO426" s="71"/>
      <c r="AR426" s="74"/>
      <c r="AW426" s="71"/>
      <c r="AZ426" s="74"/>
      <c r="BB426" s="71"/>
      <c r="BD426" s="71"/>
      <c r="BG426" s="74"/>
      <c r="BI426" s="71"/>
      <c r="BK426" s="71"/>
      <c r="BN426" s="74"/>
      <c r="BP426" s="71"/>
      <c r="BQ426" s="71"/>
      <c r="BS426" s="71"/>
      <c r="BV426" s="74"/>
      <c r="BX426" s="71"/>
      <c r="BZ426" s="71"/>
      <c r="CC426" s="38"/>
      <c r="CD426" s="29"/>
      <c r="CE426" s="39"/>
      <c r="CF426" s="39"/>
      <c r="CG426" s="39"/>
      <c r="CH426" s="40"/>
      <c r="CI426" s="40"/>
      <c r="CJ426" s="40"/>
      <c r="CK426" s="39"/>
      <c r="CL426" s="39"/>
      <c r="CM426" s="39"/>
      <c r="CN426" s="39"/>
      <c r="CO426" s="39"/>
      <c r="CP426" s="39"/>
      <c r="CQ426" s="39"/>
      <c r="CR426" s="39"/>
      <c r="CS426" s="39"/>
      <c r="CT426" s="39"/>
      <c r="CU426" s="39"/>
      <c r="CV426" s="39"/>
      <c r="CW426" s="41"/>
      <c r="CX426" s="39"/>
      <c r="CY426" s="39"/>
      <c r="CZ426" s="41"/>
      <c r="DA426" s="41"/>
      <c r="DB426" s="41"/>
      <c r="DC426" s="41"/>
      <c r="DD426" s="39"/>
      <c r="DE426" s="39"/>
      <c r="DF426" s="41"/>
      <c r="DG426" s="41"/>
      <c r="DH426" s="41"/>
      <c r="DI426" s="42"/>
      <c r="DJ426" s="43"/>
      <c r="DK426" s="43">
        <f t="shared" si="368"/>
        <v>0</v>
      </c>
    </row>
    <row r="427" spans="24:115" s="30" customFormat="1">
      <c r="X427" s="67"/>
      <c r="AB427" s="68"/>
      <c r="AD427" s="71"/>
      <c r="AE427" s="71"/>
      <c r="AG427" s="71"/>
      <c r="AH427" s="73"/>
      <c r="AJ427" s="74"/>
      <c r="AL427" s="78"/>
      <c r="AM427" s="78"/>
      <c r="AO427" s="71"/>
      <c r="AR427" s="74"/>
      <c r="AW427" s="71"/>
      <c r="AZ427" s="74"/>
      <c r="BB427" s="71"/>
      <c r="BD427" s="71"/>
      <c r="BG427" s="74"/>
      <c r="BI427" s="71"/>
      <c r="BK427" s="71"/>
      <c r="BN427" s="74"/>
      <c r="BP427" s="71"/>
      <c r="BQ427" s="71"/>
      <c r="BS427" s="71"/>
      <c r="BV427" s="74"/>
      <c r="BX427" s="71"/>
      <c r="BZ427" s="71"/>
      <c r="CC427" s="38"/>
      <c r="CD427" s="29"/>
      <c r="CE427" s="39"/>
      <c r="CF427" s="39"/>
      <c r="CG427" s="39"/>
      <c r="CH427" s="40"/>
      <c r="CI427" s="40"/>
      <c r="CJ427" s="40"/>
      <c r="CK427" s="39"/>
      <c r="CL427" s="39"/>
      <c r="CM427" s="39"/>
      <c r="CN427" s="39"/>
      <c r="CO427" s="39"/>
      <c r="CP427" s="39"/>
      <c r="CQ427" s="39"/>
      <c r="CR427" s="39"/>
      <c r="CS427" s="39"/>
      <c r="CT427" s="39"/>
      <c r="CU427" s="39"/>
      <c r="CV427" s="39"/>
      <c r="CW427" s="41"/>
      <c r="CX427" s="39"/>
      <c r="CY427" s="39"/>
      <c r="CZ427" s="41"/>
      <c r="DA427" s="41"/>
      <c r="DB427" s="41"/>
      <c r="DC427" s="41"/>
      <c r="DD427" s="39"/>
      <c r="DE427" s="39"/>
      <c r="DF427" s="41"/>
      <c r="DG427" s="41"/>
      <c r="DH427" s="41"/>
      <c r="DI427" s="42"/>
      <c r="DJ427" s="43"/>
      <c r="DK427" s="43">
        <f t="shared" si="368"/>
        <v>0</v>
      </c>
    </row>
    <row r="428" spans="24:115" s="30" customFormat="1">
      <c r="X428" s="67"/>
      <c r="AB428" s="68"/>
      <c r="AD428" s="71"/>
      <c r="AE428" s="71"/>
      <c r="AG428" s="71"/>
      <c r="AH428" s="73"/>
      <c r="AJ428" s="74"/>
      <c r="AL428" s="78"/>
      <c r="AM428" s="78"/>
      <c r="AO428" s="71"/>
      <c r="AR428" s="74"/>
      <c r="AW428" s="71"/>
      <c r="AZ428" s="74"/>
      <c r="BB428" s="71"/>
      <c r="BD428" s="71"/>
      <c r="BG428" s="74"/>
      <c r="BI428" s="71"/>
      <c r="BK428" s="71"/>
      <c r="BN428" s="74"/>
      <c r="BP428" s="71"/>
      <c r="BQ428" s="71"/>
      <c r="BS428" s="71"/>
      <c r="BV428" s="74"/>
      <c r="BX428" s="71"/>
      <c r="BZ428" s="71"/>
      <c r="CC428" s="38"/>
      <c r="CD428" s="29"/>
      <c r="CE428" s="39"/>
      <c r="CF428" s="39"/>
      <c r="CG428" s="39"/>
      <c r="CH428" s="40"/>
      <c r="CI428" s="40"/>
      <c r="CJ428" s="40"/>
      <c r="CK428" s="39"/>
      <c r="CL428" s="39"/>
      <c r="CM428" s="39"/>
      <c r="CN428" s="39"/>
      <c r="CO428" s="39"/>
      <c r="CP428" s="39"/>
      <c r="CQ428" s="39"/>
      <c r="CR428" s="39"/>
      <c r="CS428" s="39"/>
      <c r="CT428" s="39"/>
      <c r="CU428" s="39"/>
      <c r="CV428" s="39"/>
      <c r="CW428" s="41"/>
      <c r="CX428" s="39"/>
      <c r="CY428" s="39"/>
      <c r="CZ428" s="41"/>
      <c r="DA428" s="41"/>
      <c r="DB428" s="41"/>
      <c r="DC428" s="41"/>
      <c r="DD428" s="39"/>
      <c r="DE428" s="39"/>
      <c r="DF428" s="41"/>
      <c r="DG428" s="41"/>
      <c r="DH428" s="41"/>
      <c r="DI428" s="42"/>
      <c r="DJ428" s="43"/>
      <c r="DK428" s="43">
        <f t="shared" si="368"/>
        <v>0</v>
      </c>
    </row>
    <row r="429" spans="24:115" s="30" customFormat="1">
      <c r="X429" s="67"/>
      <c r="AB429" s="68"/>
      <c r="AD429" s="71"/>
      <c r="AE429" s="71"/>
      <c r="AG429" s="71"/>
      <c r="AH429" s="73"/>
      <c r="AJ429" s="74"/>
      <c r="AL429" s="78"/>
      <c r="AM429" s="78"/>
      <c r="AO429" s="71"/>
      <c r="AR429" s="74"/>
      <c r="AW429" s="71"/>
      <c r="AZ429" s="74"/>
      <c r="BB429" s="71"/>
      <c r="BD429" s="71"/>
      <c r="BG429" s="74"/>
      <c r="BI429" s="71"/>
      <c r="BK429" s="71"/>
      <c r="BN429" s="74"/>
      <c r="BP429" s="71"/>
      <c r="BQ429" s="71"/>
      <c r="BS429" s="71"/>
      <c r="BV429" s="74"/>
      <c r="BX429" s="71"/>
      <c r="BZ429" s="71"/>
      <c r="CC429" s="38"/>
      <c r="CD429" s="29"/>
      <c r="CE429" s="39"/>
      <c r="CF429" s="39"/>
      <c r="CG429" s="39"/>
      <c r="CH429" s="40"/>
      <c r="CI429" s="40"/>
      <c r="CJ429" s="40"/>
      <c r="CK429" s="39"/>
      <c r="CL429" s="39"/>
      <c r="CM429" s="39"/>
      <c r="CN429" s="39"/>
      <c r="CO429" s="39"/>
      <c r="CP429" s="39"/>
      <c r="CQ429" s="39"/>
      <c r="CR429" s="39"/>
      <c r="CS429" s="39"/>
      <c r="CT429" s="39"/>
      <c r="CU429" s="39"/>
      <c r="CV429" s="39"/>
      <c r="CW429" s="41"/>
      <c r="CX429" s="39"/>
      <c r="CY429" s="39"/>
      <c r="CZ429" s="41"/>
      <c r="DA429" s="41"/>
      <c r="DB429" s="41"/>
      <c r="DC429" s="41"/>
      <c r="DD429" s="39"/>
      <c r="DE429" s="39"/>
      <c r="DF429" s="41"/>
      <c r="DG429" s="41"/>
      <c r="DH429" s="41"/>
      <c r="DI429" s="42"/>
      <c r="DJ429" s="43"/>
      <c r="DK429" s="43">
        <f t="shared" si="368"/>
        <v>0</v>
      </c>
    </row>
    <row r="430" spans="24:115" s="30" customFormat="1">
      <c r="X430" s="67"/>
      <c r="AB430" s="68"/>
      <c r="AD430" s="71"/>
      <c r="AE430" s="71"/>
      <c r="AG430" s="71"/>
      <c r="AH430" s="73"/>
      <c r="AJ430" s="74"/>
      <c r="AL430" s="78"/>
      <c r="AM430" s="78"/>
      <c r="AO430" s="71"/>
      <c r="AR430" s="74"/>
      <c r="AW430" s="71"/>
      <c r="AZ430" s="74"/>
      <c r="BB430" s="71"/>
      <c r="BD430" s="71"/>
      <c r="BG430" s="74"/>
      <c r="BI430" s="71"/>
      <c r="BK430" s="71"/>
      <c r="BN430" s="74"/>
      <c r="BP430" s="71"/>
      <c r="BQ430" s="71"/>
      <c r="BS430" s="71"/>
      <c r="BV430" s="74"/>
      <c r="BX430" s="71"/>
      <c r="BZ430" s="71"/>
      <c r="CC430" s="38"/>
      <c r="CD430" s="29"/>
      <c r="CE430" s="39"/>
      <c r="CF430" s="39"/>
      <c r="CG430" s="39"/>
      <c r="CH430" s="40"/>
      <c r="CI430" s="40"/>
      <c r="CJ430" s="40"/>
      <c r="CK430" s="39"/>
      <c r="CL430" s="39"/>
      <c r="CM430" s="39"/>
      <c r="CN430" s="39"/>
      <c r="CO430" s="39"/>
      <c r="CP430" s="39"/>
      <c r="CQ430" s="39"/>
      <c r="CR430" s="39"/>
      <c r="CS430" s="39"/>
      <c r="CT430" s="39"/>
      <c r="CU430" s="39"/>
      <c r="CV430" s="39"/>
      <c r="CW430" s="41"/>
      <c r="CX430" s="39"/>
      <c r="CY430" s="39"/>
      <c r="CZ430" s="41"/>
      <c r="DA430" s="41"/>
      <c r="DB430" s="41"/>
      <c r="DC430" s="41"/>
      <c r="DD430" s="39"/>
      <c r="DE430" s="39"/>
      <c r="DF430" s="41"/>
      <c r="DG430" s="41"/>
      <c r="DH430" s="41"/>
      <c r="DI430" s="42"/>
      <c r="DJ430" s="43"/>
      <c r="DK430" s="43">
        <f t="shared" si="368"/>
        <v>0</v>
      </c>
    </row>
    <row r="431" spans="24:115" s="30" customFormat="1">
      <c r="X431" s="67"/>
      <c r="AB431" s="68"/>
      <c r="AD431" s="71"/>
      <c r="AE431" s="71"/>
      <c r="AG431" s="71"/>
      <c r="AH431" s="73"/>
      <c r="AJ431" s="74"/>
      <c r="AL431" s="78"/>
      <c r="AM431" s="78"/>
      <c r="AO431" s="71"/>
      <c r="AR431" s="74"/>
      <c r="AW431" s="71"/>
      <c r="AZ431" s="74"/>
      <c r="BB431" s="71"/>
      <c r="BD431" s="71"/>
      <c r="BG431" s="74"/>
      <c r="BI431" s="71"/>
      <c r="BK431" s="71"/>
      <c r="BN431" s="74"/>
      <c r="BP431" s="71"/>
      <c r="BQ431" s="71"/>
      <c r="BS431" s="71"/>
      <c r="BV431" s="74"/>
      <c r="BX431" s="71"/>
      <c r="BZ431" s="71"/>
      <c r="CC431" s="38"/>
      <c r="CD431" s="29"/>
      <c r="CE431" s="39"/>
      <c r="CF431" s="39"/>
      <c r="CG431" s="39"/>
      <c r="CH431" s="40"/>
      <c r="CI431" s="40"/>
      <c r="CJ431" s="40"/>
      <c r="CK431" s="39"/>
      <c r="CL431" s="39"/>
      <c r="CM431" s="39"/>
      <c r="CN431" s="39"/>
      <c r="CO431" s="39"/>
      <c r="CP431" s="39"/>
      <c r="CQ431" s="39"/>
      <c r="CR431" s="39"/>
      <c r="CS431" s="39"/>
      <c r="CT431" s="39"/>
      <c r="CU431" s="39"/>
      <c r="CV431" s="39"/>
      <c r="CW431" s="41"/>
      <c r="CX431" s="39"/>
      <c r="CY431" s="39"/>
      <c r="CZ431" s="41"/>
      <c r="DA431" s="41"/>
      <c r="DB431" s="41"/>
      <c r="DC431" s="41"/>
      <c r="DD431" s="39"/>
      <c r="DE431" s="39"/>
      <c r="DF431" s="41"/>
      <c r="DG431" s="41"/>
      <c r="DH431" s="41"/>
      <c r="DI431" s="42"/>
      <c r="DJ431" s="43"/>
      <c r="DK431" s="43">
        <f t="shared" si="368"/>
        <v>0</v>
      </c>
    </row>
    <row r="432" spans="24:115" s="30" customFormat="1">
      <c r="X432" s="67"/>
      <c r="AB432" s="68"/>
      <c r="AD432" s="71"/>
      <c r="AE432" s="71"/>
      <c r="AG432" s="71"/>
      <c r="AH432" s="73"/>
      <c r="AJ432" s="74"/>
      <c r="AL432" s="78"/>
      <c r="AM432" s="78"/>
      <c r="AO432" s="71"/>
      <c r="AR432" s="74"/>
      <c r="AW432" s="71"/>
      <c r="AZ432" s="74"/>
      <c r="BB432" s="71"/>
      <c r="BD432" s="71"/>
      <c r="BG432" s="74"/>
      <c r="BI432" s="71"/>
      <c r="BK432" s="71"/>
      <c r="BN432" s="74"/>
      <c r="BP432" s="71"/>
      <c r="BQ432" s="71"/>
      <c r="BS432" s="71"/>
      <c r="BV432" s="74"/>
      <c r="BX432" s="71"/>
      <c r="BZ432" s="71"/>
      <c r="CC432" s="38"/>
      <c r="CD432" s="29"/>
      <c r="CE432" s="39"/>
      <c r="CF432" s="39"/>
      <c r="CG432" s="39"/>
      <c r="CH432" s="40"/>
      <c r="CI432" s="40"/>
      <c r="CJ432" s="40"/>
      <c r="CK432" s="39"/>
      <c r="CL432" s="39"/>
      <c r="CM432" s="39"/>
      <c r="CN432" s="39"/>
      <c r="CO432" s="39"/>
      <c r="CP432" s="39"/>
      <c r="CQ432" s="39"/>
      <c r="CR432" s="39"/>
      <c r="CS432" s="39"/>
      <c r="CT432" s="39"/>
      <c r="CU432" s="39"/>
      <c r="CV432" s="39"/>
      <c r="CW432" s="41"/>
      <c r="CX432" s="39"/>
      <c r="CY432" s="39"/>
      <c r="CZ432" s="41"/>
      <c r="DA432" s="41"/>
      <c r="DB432" s="41"/>
      <c r="DC432" s="41"/>
      <c r="DD432" s="39"/>
      <c r="DE432" s="39"/>
      <c r="DF432" s="41"/>
      <c r="DG432" s="41"/>
      <c r="DH432" s="41"/>
      <c r="DI432" s="42"/>
      <c r="DJ432" s="43"/>
      <c r="DK432" s="43">
        <f t="shared" si="368"/>
        <v>0</v>
      </c>
    </row>
    <row r="433" spans="24:115" s="30" customFormat="1">
      <c r="X433" s="67"/>
      <c r="AB433" s="68"/>
      <c r="AD433" s="71"/>
      <c r="AE433" s="71"/>
      <c r="AG433" s="71"/>
      <c r="AH433" s="73"/>
      <c r="AJ433" s="74"/>
      <c r="AL433" s="78"/>
      <c r="AM433" s="78"/>
      <c r="AO433" s="71"/>
      <c r="AR433" s="74"/>
      <c r="AW433" s="71"/>
      <c r="AZ433" s="74"/>
      <c r="BB433" s="71"/>
      <c r="BD433" s="71"/>
      <c r="BG433" s="74"/>
      <c r="BI433" s="71"/>
      <c r="BK433" s="71"/>
      <c r="BN433" s="74"/>
      <c r="BP433" s="71"/>
      <c r="BQ433" s="71"/>
      <c r="BS433" s="71"/>
      <c r="BV433" s="74"/>
      <c r="BX433" s="71"/>
      <c r="BZ433" s="71"/>
      <c r="CC433" s="38"/>
      <c r="CD433" s="29"/>
      <c r="CE433" s="39"/>
      <c r="CF433" s="39"/>
      <c r="CG433" s="39"/>
      <c r="CH433" s="40"/>
      <c r="CI433" s="40"/>
      <c r="CJ433" s="40"/>
      <c r="CK433" s="39"/>
      <c r="CL433" s="39"/>
      <c r="CM433" s="39"/>
      <c r="CN433" s="39"/>
      <c r="CO433" s="39"/>
      <c r="CP433" s="39"/>
      <c r="CQ433" s="39"/>
      <c r="CR433" s="39"/>
      <c r="CS433" s="39"/>
      <c r="CT433" s="39"/>
      <c r="CU433" s="39"/>
      <c r="CV433" s="39"/>
      <c r="CW433" s="41"/>
      <c r="CX433" s="39"/>
      <c r="CY433" s="39"/>
      <c r="CZ433" s="41"/>
      <c r="DA433" s="41"/>
      <c r="DB433" s="41"/>
      <c r="DC433" s="41"/>
      <c r="DD433" s="39"/>
      <c r="DE433" s="39"/>
      <c r="DF433" s="41"/>
      <c r="DG433" s="41"/>
      <c r="DH433" s="41"/>
      <c r="DI433" s="42"/>
      <c r="DJ433" s="43"/>
      <c r="DK433" s="43">
        <f t="shared" si="368"/>
        <v>0</v>
      </c>
    </row>
    <row r="434" spans="24:115" s="30" customFormat="1">
      <c r="X434" s="67"/>
      <c r="AB434" s="68"/>
      <c r="AD434" s="71"/>
      <c r="AE434" s="71"/>
      <c r="AG434" s="71"/>
      <c r="AH434" s="73"/>
      <c r="AJ434" s="74"/>
      <c r="AL434" s="78"/>
      <c r="AM434" s="78"/>
      <c r="AO434" s="71"/>
      <c r="AR434" s="74"/>
      <c r="AW434" s="71"/>
      <c r="AZ434" s="74"/>
      <c r="BB434" s="71"/>
      <c r="BD434" s="71"/>
      <c r="BG434" s="74"/>
      <c r="BI434" s="71"/>
      <c r="BK434" s="71"/>
      <c r="BN434" s="74"/>
      <c r="BP434" s="71"/>
      <c r="BQ434" s="71"/>
      <c r="BS434" s="71"/>
      <c r="BV434" s="74"/>
      <c r="BX434" s="71"/>
      <c r="BZ434" s="71"/>
      <c r="CC434" s="38"/>
      <c r="CD434" s="29"/>
      <c r="CE434" s="39"/>
      <c r="CF434" s="39"/>
      <c r="CG434" s="39"/>
      <c r="CH434" s="40"/>
      <c r="CI434" s="40"/>
      <c r="CJ434" s="40"/>
      <c r="CK434" s="39"/>
      <c r="CL434" s="39"/>
      <c r="CM434" s="39"/>
      <c r="CN434" s="39"/>
      <c r="CO434" s="39"/>
      <c r="CP434" s="39"/>
      <c r="CQ434" s="39"/>
      <c r="CR434" s="39"/>
      <c r="CS434" s="39"/>
      <c r="CT434" s="39"/>
      <c r="CU434" s="39"/>
      <c r="CV434" s="39"/>
      <c r="CW434" s="41"/>
      <c r="CX434" s="39"/>
      <c r="CY434" s="39"/>
      <c r="CZ434" s="41"/>
      <c r="DA434" s="41"/>
      <c r="DB434" s="41"/>
      <c r="DC434" s="41"/>
      <c r="DD434" s="39"/>
      <c r="DE434" s="39"/>
      <c r="DF434" s="41"/>
      <c r="DG434" s="41"/>
      <c r="DH434" s="41"/>
      <c r="DI434" s="42"/>
      <c r="DJ434" s="43"/>
      <c r="DK434" s="43">
        <f t="shared" si="368"/>
        <v>0</v>
      </c>
    </row>
    <row r="435" spans="24:115" s="30" customFormat="1">
      <c r="X435" s="67"/>
      <c r="AB435" s="68"/>
      <c r="AD435" s="71"/>
      <c r="AE435" s="71"/>
      <c r="AG435" s="71"/>
      <c r="AH435" s="73"/>
      <c r="AJ435" s="74"/>
      <c r="AL435" s="78"/>
      <c r="AM435" s="78"/>
      <c r="AO435" s="71"/>
      <c r="AR435" s="74"/>
      <c r="AW435" s="71"/>
      <c r="AZ435" s="74"/>
      <c r="BB435" s="71"/>
      <c r="BD435" s="71"/>
      <c r="BG435" s="74"/>
      <c r="BI435" s="71"/>
      <c r="BK435" s="71"/>
      <c r="BN435" s="74"/>
      <c r="BP435" s="71"/>
      <c r="BQ435" s="71"/>
      <c r="BS435" s="71"/>
      <c r="BV435" s="74"/>
      <c r="BX435" s="71"/>
      <c r="BZ435" s="71"/>
      <c r="CC435" s="38"/>
      <c r="CD435" s="29"/>
      <c r="CE435" s="39"/>
      <c r="CF435" s="39"/>
      <c r="CG435" s="39"/>
      <c r="CH435" s="40"/>
      <c r="CI435" s="40"/>
      <c r="CJ435" s="40"/>
      <c r="CK435" s="39"/>
      <c r="CL435" s="39"/>
      <c r="CM435" s="39"/>
      <c r="CN435" s="39"/>
      <c r="CO435" s="39"/>
      <c r="CP435" s="39"/>
      <c r="CQ435" s="39"/>
      <c r="CR435" s="39"/>
      <c r="CS435" s="39"/>
      <c r="CT435" s="39"/>
      <c r="CU435" s="39"/>
      <c r="CV435" s="39"/>
      <c r="CW435" s="41"/>
      <c r="CX435" s="39"/>
      <c r="CY435" s="39"/>
      <c r="CZ435" s="41"/>
      <c r="DA435" s="41"/>
      <c r="DB435" s="41"/>
      <c r="DC435" s="41"/>
      <c r="DD435" s="39"/>
      <c r="DE435" s="39"/>
      <c r="DF435" s="41"/>
      <c r="DG435" s="41"/>
      <c r="DH435" s="41"/>
      <c r="DI435" s="42"/>
      <c r="DJ435" s="43"/>
      <c r="DK435" s="43">
        <f t="shared" si="368"/>
        <v>0</v>
      </c>
    </row>
    <row r="436" spans="24:115" s="30" customFormat="1">
      <c r="X436" s="67"/>
      <c r="AB436" s="68"/>
      <c r="AD436" s="71"/>
      <c r="AE436" s="71"/>
      <c r="AG436" s="71"/>
      <c r="AH436" s="73"/>
      <c r="AJ436" s="74"/>
      <c r="AL436" s="78"/>
      <c r="AM436" s="78"/>
      <c r="AO436" s="71"/>
      <c r="AR436" s="74"/>
      <c r="AW436" s="71"/>
      <c r="AZ436" s="74"/>
      <c r="BB436" s="71"/>
      <c r="BD436" s="71"/>
      <c r="BG436" s="74"/>
      <c r="BI436" s="71"/>
      <c r="BK436" s="71"/>
      <c r="BN436" s="74"/>
      <c r="BP436" s="71"/>
      <c r="BQ436" s="71"/>
      <c r="BS436" s="71"/>
      <c r="BV436" s="74"/>
      <c r="BX436" s="71"/>
      <c r="BZ436" s="71"/>
      <c r="CC436" s="38"/>
      <c r="CD436" s="29"/>
      <c r="CE436" s="39"/>
      <c r="CF436" s="39"/>
      <c r="CG436" s="39"/>
      <c r="CH436" s="40"/>
      <c r="CI436" s="40"/>
      <c r="CJ436" s="40"/>
      <c r="CK436" s="39"/>
      <c r="CL436" s="39"/>
      <c r="CM436" s="39"/>
      <c r="CN436" s="39"/>
      <c r="CO436" s="39"/>
      <c r="CP436" s="39"/>
      <c r="CQ436" s="39"/>
      <c r="CR436" s="39"/>
      <c r="CS436" s="39"/>
      <c r="CT436" s="39"/>
      <c r="CU436" s="39"/>
      <c r="CV436" s="39"/>
      <c r="CW436" s="41"/>
      <c r="CX436" s="39"/>
      <c r="CY436" s="39"/>
      <c r="CZ436" s="41"/>
      <c r="DA436" s="41"/>
      <c r="DB436" s="41"/>
      <c r="DC436" s="41"/>
      <c r="DD436" s="39"/>
      <c r="DE436" s="39"/>
      <c r="DF436" s="41"/>
      <c r="DG436" s="41"/>
      <c r="DH436" s="41"/>
      <c r="DI436" s="42"/>
      <c r="DJ436" s="43"/>
      <c r="DK436" s="43">
        <f t="shared" si="368"/>
        <v>0</v>
      </c>
    </row>
    <row r="437" spans="24:115" s="30" customFormat="1">
      <c r="X437" s="67"/>
      <c r="AB437" s="68"/>
      <c r="AD437" s="71"/>
      <c r="AE437" s="71"/>
      <c r="AG437" s="71"/>
      <c r="AH437" s="73"/>
      <c r="AJ437" s="74"/>
      <c r="AL437" s="78"/>
      <c r="AM437" s="78"/>
      <c r="AO437" s="71"/>
      <c r="AR437" s="74"/>
      <c r="AW437" s="71"/>
      <c r="AZ437" s="74"/>
      <c r="BB437" s="71"/>
      <c r="BD437" s="71"/>
      <c r="BG437" s="74"/>
      <c r="BI437" s="71"/>
      <c r="BK437" s="71"/>
      <c r="BN437" s="74"/>
      <c r="BP437" s="71"/>
      <c r="BQ437" s="71"/>
      <c r="BS437" s="71"/>
      <c r="BV437" s="74"/>
      <c r="BX437" s="71"/>
      <c r="BZ437" s="71"/>
      <c r="CC437" s="38"/>
      <c r="CD437" s="29"/>
      <c r="CE437" s="39"/>
      <c r="CF437" s="39"/>
      <c r="CG437" s="39"/>
      <c r="CH437" s="40"/>
      <c r="CI437" s="40"/>
      <c r="CJ437" s="40"/>
      <c r="CK437" s="39"/>
      <c r="CL437" s="39"/>
      <c r="CM437" s="39"/>
      <c r="CN437" s="39"/>
      <c r="CO437" s="39"/>
      <c r="CP437" s="39"/>
      <c r="CQ437" s="39"/>
      <c r="CR437" s="39"/>
      <c r="CS437" s="39"/>
      <c r="CT437" s="39"/>
      <c r="CU437" s="39"/>
      <c r="CV437" s="39"/>
      <c r="CW437" s="41"/>
      <c r="CX437" s="39"/>
      <c r="CY437" s="39"/>
      <c r="CZ437" s="41"/>
      <c r="DA437" s="41"/>
      <c r="DB437" s="41"/>
      <c r="DC437" s="41"/>
      <c r="DD437" s="39"/>
      <c r="DE437" s="39"/>
      <c r="DF437" s="41"/>
      <c r="DG437" s="41"/>
      <c r="DH437" s="41"/>
      <c r="DI437" s="42"/>
      <c r="DJ437" s="43"/>
      <c r="DK437" s="43">
        <f t="shared" si="368"/>
        <v>0</v>
      </c>
    </row>
    <row r="438" spans="24:115" s="30" customFormat="1">
      <c r="X438" s="67"/>
      <c r="AB438" s="68"/>
      <c r="AD438" s="71"/>
      <c r="AE438" s="71"/>
      <c r="AG438" s="71"/>
      <c r="AH438" s="73"/>
      <c r="AJ438" s="74"/>
      <c r="AL438" s="78"/>
      <c r="AM438" s="78"/>
      <c r="AO438" s="71"/>
      <c r="AR438" s="74"/>
      <c r="AW438" s="71"/>
      <c r="AZ438" s="74"/>
      <c r="BB438" s="71"/>
      <c r="BD438" s="71"/>
      <c r="BG438" s="74"/>
      <c r="BI438" s="71"/>
      <c r="BK438" s="71"/>
      <c r="BN438" s="74"/>
      <c r="BP438" s="71"/>
      <c r="BQ438" s="71"/>
      <c r="BS438" s="71"/>
      <c r="BV438" s="74"/>
      <c r="BX438" s="71"/>
      <c r="BZ438" s="71"/>
      <c r="CC438" s="38"/>
      <c r="CD438" s="29"/>
      <c r="CE438" s="39"/>
      <c r="CF438" s="39"/>
      <c r="CG438" s="39"/>
      <c r="CH438" s="40"/>
      <c r="CI438" s="40"/>
      <c r="CJ438" s="40"/>
      <c r="CK438" s="39"/>
      <c r="CL438" s="39"/>
      <c r="CM438" s="39"/>
      <c r="CN438" s="39"/>
      <c r="CO438" s="39"/>
      <c r="CP438" s="39"/>
      <c r="CQ438" s="39"/>
      <c r="CR438" s="39"/>
      <c r="CS438" s="39"/>
      <c r="CT438" s="39"/>
      <c r="CU438" s="39"/>
      <c r="CV438" s="39"/>
      <c r="CW438" s="41"/>
      <c r="CX438" s="39"/>
      <c r="CY438" s="39"/>
      <c r="CZ438" s="41"/>
      <c r="DA438" s="41"/>
      <c r="DB438" s="41"/>
      <c r="DC438" s="41"/>
      <c r="DD438" s="39"/>
      <c r="DE438" s="39"/>
      <c r="DF438" s="41"/>
      <c r="DG438" s="41"/>
      <c r="DH438" s="41"/>
      <c r="DI438" s="42"/>
      <c r="DJ438" s="43"/>
      <c r="DK438" s="43">
        <f t="shared" si="368"/>
        <v>0</v>
      </c>
    </row>
    <row r="439" spans="24:115" s="30" customFormat="1">
      <c r="X439" s="67"/>
      <c r="AB439" s="68"/>
      <c r="AD439" s="71"/>
      <c r="AE439" s="71"/>
      <c r="AG439" s="71"/>
      <c r="AH439" s="73"/>
      <c r="AJ439" s="74"/>
      <c r="AL439" s="78"/>
      <c r="AM439" s="78"/>
      <c r="AO439" s="71"/>
      <c r="AR439" s="74"/>
      <c r="AW439" s="71"/>
      <c r="AZ439" s="74"/>
      <c r="BB439" s="71"/>
      <c r="BD439" s="71"/>
      <c r="BG439" s="74"/>
      <c r="BI439" s="71"/>
      <c r="BK439" s="71"/>
      <c r="BN439" s="74"/>
      <c r="BP439" s="71"/>
      <c r="BQ439" s="71"/>
      <c r="BS439" s="71"/>
      <c r="BV439" s="74"/>
      <c r="BX439" s="71"/>
      <c r="BZ439" s="71"/>
      <c r="CC439" s="38"/>
      <c r="CD439" s="29"/>
      <c r="CE439" s="39"/>
      <c r="CF439" s="39"/>
      <c r="CG439" s="39"/>
      <c r="CH439" s="40"/>
      <c r="CI439" s="40"/>
      <c r="CJ439" s="40"/>
      <c r="CK439" s="39"/>
      <c r="CL439" s="39"/>
      <c r="CM439" s="39"/>
      <c r="CN439" s="39"/>
      <c r="CO439" s="39"/>
      <c r="CP439" s="39"/>
      <c r="CQ439" s="39"/>
      <c r="CR439" s="39"/>
      <c r="CS439" s="39"/>
      <c r="CT439" s="39"/>
      <c r="CU439" s="39"/>
      <c r="CV439" s="39"/>
      <c r="CW439" s="41"/>
      <c r="CX439" s="39"/>
      <c r="CY439" s="39"/>
      <c r="CZ439" s="41"/>
      <c r="DA439" s="41"/>
      <c r="DB439" s="41"/>
      <c r="DC439" s="41"/>
      <c r="DD439" s="39"/>
      <c r="DE439" s="39"/>
      <c r="DF439" s="41"/>
      <c r="DG439" s="41"/>
      <c r="DH439" s="41"/>
      <c r="DI439" s="42"/>
      <c r="DJ439" s="43"/>
      <c r="DK439" s="43">
        <f t="shared" si="368"/>
        <v>0</v>
      </c>
    </row>
    <row r="440" spans="24:115" s="30" customFormat="1">
      <c r="X440" s="67"/>
      <c r="AB440" s="68"/>
      <c r="AD440" s="71"/>
      <c r="AE440" s="71"/>
      <c r="AG440" s="71"/>
      <c r="AH440" s="73"/>
      <c r="AJ440" s="74"/>
      <c r="AL440" s="78"/>
      <c r="AM440" s="78"/>
      <c r="AO440" s="71"/>
      <c r="AR440" s="74"/>
      <c r="AW440" s="71"/>
      <c r="AZ440" s="74"/>
      <c r="BB440" s="71"/>
      <c r="BD440" s="71"/>
      <c r="BG440" s="74"/>
      <c r="BI440" s="71"/>
      <c r="BK440" s="71"/>
      <c r="BN440" s="74"/>
      <c r="BP440" s="71"/>
      <c r="BQ440" s="71"/>
      <c r="BS440" s="71"/>
      <c r="BV440" s="74"/>
      <c r="BX440" s="71"/>
      <c r="BZ440" s="71"/>
      <c r="CC440" s="38"/>
      <c r="CD440" s="29"/>
      <c r="CE440" s="39"/>
      <c r="CF440" s="39"/>
      <c r="CG440" s="39"/>
      <c r="CH440" s="40"/>
      <c r="CI440" s="40"/>
      <c r="CJ440" s="40"/>
      <c r="CK440" s="39"/>
      <c r="CL440" s="39"/>
      <c r="CM440" s="39"/>
      <c r="CN440" s="39"/>
      <c r="CO440" s="39"/>
      <c r="CP440" s="39"/>
      <c r="CQ440" s="39"/>
      <c r="CR440" s="39"/>
      <c r="CS440" s="39"/>
      <c r="CT440" s="39"/>
      <c r="CU440" s="39"/>
      <c r="CV440" s="39"/>
      <c r="CW440" s="41"/>
      <c r="CX440" s="39"/>
      <c r="CY440" s="39"/>
      <c r="CZ440" s="41"/>
      <c r="DA440" s="41"/>
      <c r="DB440" s="41"/>
      <c r="DC440" s="41"/>
      <c r="DD440" s="39"/>
      <c r="DE440" s="39"/>
      <c r="DF440" s="41"/>
      <c r="DG440" s="41"/>
      <c r="DH440" s="41"/>
      <c r="DI440" s="42"/>
      <c r="DJ440" s="43"/>
      <c r="DK440" s="43">
        <f t="shared" si="368"/>
        <v>0</v>
      </c>
    </row>
  </sheetData>
  <sheetProtection algorithmName="SHA-512" hashValue="XlP5qqfA9DqmTzOWUhAkv4FfO63u+6BDGQGH5ul8ZqILztF4id8uYoj8JgMKs1JcLlmfDL6aTReE2DVnpOdoQw==" saltValue="h2lhqt6PqZKrm44j0iLDPw==" spinCount="100000" sheet="1" formatCells="0" formatColumns="0" formatRows="0" insertColumns="0" insertRows="0" insertHyperlinks="0" deleteColumns="0" deleteRows="0" sort="0" autoFilter="0" pivotTables="0"/>
  <protectedRanges>
    <protectedRange algorithmName="SHA-512" hashValue="JkwGMkyN6uDZy9K3UnLYKHbONkTneyvcBkZbw832pf3/OvzPn47/tOjWWFkoHruJFqsDNzL3ZtFhUW1rxpiesQ==" saltValue="hiIEQ6ppq6xjmWFZjcvCAg==" spinCount="100000" sqref="CR122:CS123 CR133:CS134 CX122:CY123 CX133:CY134 DD122:DE123 DD133:DE134 CN118:CO121 CK122:CP123 CK133:CP134 CK117:CK121 CN126:CO131 CK126:CL131 CR126:CR131 CZ128:DA131 CX126:CX131 DD126:DD131" name="Rango1_10"/>
    <protectedRange algorithmName="SHA-512" hashValue="JkwGMkyN6uDZy9K3UnLYKHbONkTneyvcBkZbw832pf3/OvzPn47/tOjWWFkoHruJFqsDNzL3ZtFhUW1rxpiesQ==" saltValue="hiIEQ6ppq6xjmWFZjcvCAg==" spinCount="100000" sqref="CR132 CN132:CO132 CK132:CL132 DD132 CZ132:DA132 CX132" name="Rango1_10_2"/>
  </protectedRanges>
  <mergeCells count="340">
    <mergeCell ref="Z81:AA81"/>
    <mergeCell ref="C84:C85"/>
    <mergeCell ref="D84:D85"/>
    <mergeCell ref="Z76:AC76"/>
    <mergeCell ref="Z82:AA82"/>
    <mergeCell ref="Z83:AA83"/>
    <mergeCell ref="AF76:AF90"/>
    <mergeCell ref="B5:N5"/>
    <mergeCell ref="C6:E6"/>
    <mergeCell ref="F6:G6"/>
    <mergeCell ref="H6:N6"/>
    <mergeCell ref="C7:E7"/>
    <mergeCell ref="F7:G7"/>
    <mergeCell ref="H7:N7"/>
    <mergeCell ref="C8:E8"/>
    <mergeCell ref="F8:G8"/>
    <mergeCell ref="H8:N8"/>
    <mergeCell ref="C9:E9"/>
    <mergeCell ref="F9:G9"/>
    <mergeCell ref="H9:N9"/>
    <mergeCell ref="C10:E10"/>
    <mergeCell ref="F10:G10"/>
    <mergeCell ref="H10:N10"/>
    <mergeCell ref="B12:CB12"/>
    <mergeCell ref="B13:CB13"/>
    <mergeCell ref="CA31:CA32"/>
    <mergeCell ref="CB31:CB32"/>
    <mergeCell ref="C31:C32"/>
    <mergeCell ref="AX15:AY15"/>
    <mergeCell ref="BE15:BF15"/>
    <mergeCell ref="BL15:BM15"/>
    <mergeCell ref="BT15:BU15"/>
    <mergeCell ref="E14:E15"/>
    <mergeCell ref="CA14:CA15"/>
    <mergeCell ref="CB14:CB15"/>
    <mergeCell ref="C14:C15"/>
    <mergeCell ref="D14:D15"/>
    <mergeCell ref="F14:T14"/>
    <mergeCell ref="U14:Y14"/>
    <mergeCell ref="Z14:AG14"/>
    <mergeCell ref="AH14:AO14"/>
    <mergeCell ref="AP14:AW14"/>
    <mergeCell ref="AX14:BD14"/>
    <mergeCell ref="BE14:BK14"/>
    <mergeCell ref="BL14:BS14"/>
    <mergeCell ref="BT14:BZ14"/>
    <mergeCell ref="U51:Y51"/>
    <mergeCell ref="Z51:AG51"/>
    <mergeCell ref="AH51:AO51"/>
    <mergeCell ref="AP51:AW51"/>
    <mergeCell ref="AX51:BD51"/>
    <mergeCell ref="BE51:BK51"/>
    <mergeCell ref="BL51:BS51"/>
    <mergeCell ref="BT51:BZ51"/>
    <mergeCell ref="B30:CB30"/>
    <mergeCell ref="F31:T31"/>
    <mergeCell ref="U31:Y31"/>
    <mergeCell ref="Z31:AG31"/>
    <mergeCell ref="AH31:AO31"/>
    <mergeCell ref="AP31:AW31"/>
    <mergeCell ref="AX31:BD31"/>
    <mergeCell ref="BE31:BK31"/>
    <mergeCell ref="BL31:BS31"/>
    <mergeCell ref="BT31:BZ31"/>
    <mergeCell ref="AX32:AY32"/>
    <mergeCell ref="BE32:BF32"/>
    <mergeCell ref="BL32:BM32"/>
    <mergeCell ref="BT32:BU32"/>
    <mergeCell ref="D31:D32"/>
    <mergeCell ref="E31:E32"/>
    <mergeCell ref="CB76:CB77"/>
    <mergeCell ref="B93:B94"/>
    <mergeCell ref="C76:C77"/>
    <mergeCell ref="C93:C94"/>
    <mergeCell ref="Z78:AA78"/>
    <mergeCell ref="AX52:AY52"/>
    <mergeCell ref="BE52:BF52"/>
    <mergeCell ref="BL52:BM52"/>
    <mergeCell ref="BT52:BU52"/>
    <mergeCell ref="B75:CB75"/>
    <mergeCell ref="AH76:AO76"/>
    <mergeCell ref="AP76:AW76"/>
    <mergeCell ref="AX76:BD76"/>
    <mergeCell ref="BE76:BK76"/>
    <mergeCell ref="BL76:BS76"/>
    <mergeCell ref="BT76:BZ76"/>
    <mergeCell ref="D51:D52"/>
    <mergeCell ref="E51:E52"/>
    <mergeCell ref="CA51:CA52"/>
    <mergeCell ref="CB51:CB52"/>
    <mergeCell ref="C51:C52"/>
    <mergeCell ref="J76:R76"/>
    <mergeCell ref="F76:I76"/>
    <mergeCell ref="F51:T51"/>
    <mergeCell ref="CW124:DH124"/>
    <mergeCell ref="CI143:CI144"/>
    <mergeCell ref="CI163:CI164"/>
    <mergeCell ref="CI172:CI173"/>
    <mergeCell ref="CI178:CI179"/>
    <mergeCell ref="AX77:AY77"/>
    <mergeCell ref="BE77:BF77"/>
    <mergeCell ref="BL77:BM77"/>
    <mergeCell ref="BT77:BU77"/>
    <mergeCell ref="B92:CB92"/>
    <mergeCell ref="F93:T93"/>
    <mergeCell ref="U93:Y93"/>
    <mergeCell ref="Z93:AG93"/>
    <mergeCell ref="AH93:AO93"/>
    <mergeCell ref="AP93:AW93"/>
    <mergeCell ref="AX93:BD93"/>
    <mergeCell ref="BE93:BK93"/>
    <mergeCell ref="BL93:BS93"/>
    <mergeCell ref="BT93:BZ93"/>
    <mergeCell ref="D76:D77"/>
    <mergeCell ref="D93:D94"/>
    <mergeCell ref="E76:E77"/>
    <mergeCell ref="E93:E94"/>
    <mergeCell ref="CA76:CA77"/>
    <mergeCell ref="CI114:CI115"/>
    <mergeCell ref="CK135:CV135"/>
    <mergeCell ref="CW135:DH135"/>
    <mergeCell ref="CI124:CI125"/>
    <mergeCell ref="CI135:CI136"/>
    <mergeCell ref="DU307:DV307"/>
    <mergeCell ref="EB307:EC307"/>
    <mergeCell ref="ED307:EE307"/>
    <mergeCell ref="CH124:CH125"/>
    <mergeCell ref="CH135:CH136"/>
    <mergeCell ref="CH143:CH144"/>
    <mergeCell ref="CH163:CH164"/>
    <mergeCell ref="CH172:CH173"/>
    <mergeCell ref="CH178:CH179"/>
    <mergeCell ref="CH184:CH185"/>
    <mergeCell ref="CH189:CH190"/>
    <mergeCell ref="CH196:CH197"/>
    <mergeCell ref="CH293:CH294"/>
    <mergeCell ref="CJ124:CJ125"/>
    <mergeCell ref="CJ135:CJ136"/>
    <mergeCell ref="CJ143:CJ144"/>
    <mergeCell ref="CJ163:CJ164"/>
    <mergeCell ref="CJ172:CJ173"/>
    <mergeCell ref="CK124:CV124"/>
    <mergeCell ref="CD163:CD164"/>
    <mergeCell ref="CD172:CD173"/>
    <mergeCell ref="CD178:CD179"/>
    <mergeCell ref="CD184:CD185"/>
    <mergeCell ref="CD189:CD190"/>
    <mergeCell ref="CD196:CD197"/>
    <mergeCell ref="Z94:AA94"/>
    <mergeCell ref="AH94:AI94"/>
    <mergeCell ref="AP94:AQ94"/>
    <mergeCell ref="AX94:AY94"/>
    <mergeCell ref="BE94:BF94"/>
    <mergeCell ref="BL94:BM94"/>
    <mergeCell ref="BT94:BU94"/>
    <mergeCell ref="CD143:CD144"/>
    <mergeCell ref="CA93:CA94"/>
    <mergeCell ref="CB93:CB94"/>
    <mergeCell ref="AM308:AQ308"/>
    <mergeCell ref="B14:B15"/>
    <mergeCell ref="B25:B26"/>
    <mergeCell ref="B31:B32"/>
    <mergeCell ref="B45:B46"/>
    <mergeCell ref="B51:B52"/>
    <mergeCell ref="B68:B69"/>
    <mergeCell ref="B76:B77"/>
    <mergeCell ref="B78:B83"/>
    <mergeCell ref="Z77:AA77"/>
    <mergeCell ref="AH77:AI77"/>
    <mergeCell ref="AP77:AQ77"/>
    <mergeCell ref="Z52:AA52"/>
    <mergeCell ref="AH52:AI52"/>
    <mergeCell ref="AP52:AQ52"/>
    <mergeCell ref="Z32:AA32"/>
    <mergeCell ref="AH32:AI32"/>
    <mergeCell ref="AP32:AQ32"/>
    <mergeCell ref="Z15:AA15"/>
    <mergeCell ref="AH15:AI15"/>
    <mergeCell ref="AP15:AQ15"/>
    <mergeCell ref="Z79:AA79"/>
    <mergeCell ref="Z80:AA80"/>
    <mergeCell ref="B50:CB50"/>
    <mergeCell ref="CD293:CD294"/>
    <mergeCell ref="CD308:CD309"/>
    <mergeCell ref="CD346:CD347"/>
    <mergeCell ref="CD357:CD358"/>
    <mergeCell ref="CD373:CD374"/>
    <mergeCell ref="CE293:CE294"/>
    <mergeCell ref="CE373:CE374"/>
    <mergeCell ref="CF114:CF115"/>
    <mergeCell ref="CF124:CF125"/>
    <mergeCell ref="CF135:CF136"/>
    <mergeCell ref="CF143:CF144"/>
    <mergeCell ref="CF163:CF164"/>
    <mergeCell ref="CF172:CF173"/>
    <mergeCell ref="CF178:CF179"/>
    <mergeCell ref="CF184:CF185"/>
    <mergeCell ref="CF189:CF190"/>
    <mergeCell ref="CF196:CF197"/>
    <mergeCell ref="CF293:CF294"/>
    <mergeCell ref="CF308:CF309"/>
    <mergeCell ref="CF346:CF347"/>
    <mergeCell ref="CF357:CF358"/>
    <mergeCell ref="CF373:CF374"/>
    <mergeCell ref="CD124:CD125"/>
    <mergeCell ref="CD135:CD136"/>
    <mergeCell ref="CI184:CI185"/>
    <mergeCell ref="CI189:CI190"/>
    <mergeCell ref="CJ196:CJ197"/>
    <mergeCell ref="CI196:CI197"/>
    <mergeCell ref="CJ293:CJ294"/>
    <mergeCell ref="CJ308:CJ309"/>
    <mergeCell ref="CJ346:CJ347"/>
    <mergeCell ref="CJ357:CJ358"/>
    <mergeCell ref="CJ373:CJ374"/>
    <mergeCell ref="CH308:CH309"/>
    <mergeCell ref="CH346:CH347"/>
    <mergeCell ref="CH357:CH358"/>
    <mergeCell ref="CH373:CH374"/>
    <mergeCell ref="CI293:CI294"/>
    <mergeCell ref="CI308:CI309"/>
    <mergeCell ref="CI346:CI347"/>
    <mergeCell ref="CI357:CI358"/>
    <mergeCell ref="CI373:CI374"/>
    <mergeCell ref="CF307:CJ307"/>
    <mergeCell ref="CN346:CN347"/>
    <mergeCell ref="CO143:CO144"/>
    <mergeCell ref="CO163:CO164"/>
    <mergeCell ref="CO172:CO173"/>
    <mergeCell ref="CO189:CO190"/>
    <mergeCell ref="CO196:CO197"/>
    <mergeCell ref="CO308:CO309"/>
    <mergeCell ref="CO346:CO347"/>
    <mergeCell ref="CK196:CK197"/>
    <mergeCell ref="CK308:CK309"/>
    <mergeCell ref="CK346:CK347"/>
    <mergeCell ref="CL143:CL144"/>
    <mergeCell ref="CL163:CL164"/>
    <mergeCell ref="CL172:CL173"/>
    <mergeCell ref="CL189:CL190"/>
    <mergeCell ref="CM196:CM197"/>
    <mergeCell ref="CM308:CM309"/>
    <mergeCell ref="CM346:CM347"/>
    <mergeCell ref="CK307:CO307"/>
    <mergeCell ref="DW307:DW308"/>
    <mergeCell ref="DX307:DX308"/>
    <mergeCell ref="DY307:DY308"/>
    <mergeCell ref="DZ307:DZ308"/>
    <mergeCell ref="EA307:EA308"/>
    <mergeCell ref="B2:N3"/>
    <mergeCell ref="CP143:CP144"/>
    <mergeCell ref="CP163:CP164"/>
    <mergeCell ref="CP172:CP173"/>
    <mergeCell ref="CP189:CP190"/>
    <mergeCell ref="CP196:CP197"/>
    <mergeCell ref="CR196:CR197"/>
    <mergeCell ref="CS196:CS197"/>
    <mergeCell ref="CT196:CT197"/>
    <mergeCell ref="DT307:DT308"/>
    <mergeCell ref="CN143:CN144"/>
    <mergeCell ref="CN163:CN164"/>
    <mergeCell ref="CN172:CN173"/>
    <mergeCell ref="CN189:CN190"/>
    <mergeCell ref="CN196:CN197"/>
    <mergeCell ref="CN308:CN309"/>
    <mergeCell ref="CJ178:CJ179"/>
    <mergeCell ref="CJ184:CJ185"/>
    <mergeCell ref="CJ189:CJ190"/>
    <mergeCell ref="B84:B88"/>
    <mergeCell ref="DV148:DX148"/>
    <mergeCell ref="DP149:DR149"/>
    <mergeCell ref="DV149:DX149"/>
    <mergeCell ref="DP136:DP142"/>
    <mergeCell ref="DQ136:DQ142"/>
    <mergeCell ref="DP143:DR143"/>
    <mergeCell ref="DV143:DX143"/>
    <mergeCell ref="DP144:DP145"/>
    <mergeCell ref="DQ144:DQ145"/>
    <mergeCell ref="DV144:DX145"/>
    <mergeCell ref="DP146:DP147"/>
    <mergeCell ref="DV146:DX147"/>
    <mergeCell ref="DP123:DP129"/>
    <mergeCell ref="DQ123:DQ129"/>
    <mergeCell ref="DV123:DX123"/>
    <mergeCell ref="DV124:DX124"/>
    <mergeCell ref="DV125:DX125"/>
    <mergeCell ref="DV126:DX127"/>
    <mergeCell ref="DV128:DX128"/>
    <mergeCell ref="DV129:DX129"/>
    <mergeCell ref="DP130:DP135"/>
    <mergeCell ref="DQ130:DQ135"/>
    <mergeCell ref="CK114:CV114"/>
    <mergeCell ref="AC85:AD85"/>
    <mergeCell ref="AC86:AD86"/>
    <mergeCell ref="AC87:AD87"/>
    <mergeCell ref="AC88:AD88"/>
    <mergeCell ref="ES123:ES125"/>
    <mergeCell ref="ET123:ET125"/>
    <mergeCell ref="EN126:EN127"/>
    <mergeCell ref="EO126:EO127"/>
    <mergeCell ref="EP126:EP127"/>
    <mergeCell ref="EQ126:EQ127"/>
    <mergeCell ref="ER126:ER127"/>
    <mergeCell ref="ET126:ET128"/>
    <mergeCell ref="EM123:EM125"/>
    <mergeCell ref="EN123:EN125"/>
    <mergeCell ref="EO123:EO125"/>
    <mergeCell ref="EP123:EP125"/>
    <mergeCell ref="EQ123:EQ125"/>
    <mergeCell ref="ER123:ER125"/>
    <mergeCell ref="EL123:EL129"/>
    <mergeCell ref="EM126:EM128"/>
    <mergeCell ref="ES126:ES128"/>
    <mergeCell ref="CW114:DH114"/>
    <mergeCell ref="CH114:CH115"/>
    <mergeCell ref="CJ114:CJ115"/>
    <mergeCell ref="DV140:DX141"/>
    <mergeCell ref="DV136:DX139"/>
    <mergeCell ref="DV142:DX142"/>
    <mergeCell ref="DV152:DX152"/>
    <mergeCell ref="EK166:EK168"/>
    <mergeCell ref="B70:B71"/>
    <mergeCell ref="EK123:EK129"/>
    <mergeCell ref="DV130:DX132"/>
    <mergeCell ref="DV135:DX135"/>
    <mergeCell ref="DP113:DU113"/>
    <mergeCell ref="DS114:DU114"/>
    <mergeCell ref="DP115:DR115"/>
    <mergeCell ref="DV115:DX115"/>
    <mergeCell ref="DP116:DP122"/>
    <mergeCell ref="DQ116:DQ122"/>
    <mergeCell ref="DV116:DX117"/>
    <mergeCell ref="DV118:DX118"/>
    <mergeCell ref="DV119:DX122"/>
    <mergeCell ref="Z84:AA84"/>
    <mergeCell ref="AC84:AD84"/>
    <mergeCell ref="Z85:AA85"/>
    <mergeCell ref="Z86:AA86"/>
    <mergeCell ref="Z87:AA87"/>
    <mergeCell ref="Z88:AA88"/>
  </mergeCells>
  <phoneticPr fontId="88" type="noConversion"/>
  <dataValidations count="35">
    <dataValidation type="list" allowBlank="1" showInputMessage="1" showErrorMessage="1" sqref="E60:E63" xr:uid="{AF447B54-27BB-4547-8441-39D88F596647}">
      <formula1>$CD$165:$CD$169</formula1>
    </dataValidation>
    <dataValidation type="list" allowBlank="1" showInputMessage="1" showErrorMessage="1" sqref="E57:E58" xr:uid="{4B2EDAF5-AA52-4ADF-8345-9DA9BA696545}">
      <formula1>$CD$158:$CD$160</formula1>
    </dataValidation>
    <dataValidation type="list" allowBlank="1" showInputMessage="1" showErrorMessage="1" sqref="E53:E56" xr:uid="{A600CAD6-5524-4DD3-B158-F25152129589}">
      <formula1>$CD$145:$CD$157</formula1>
    </dataValidation>
    <dataValidation type="list" allowBlank="1" showInputMessage="1" showErrorMessage="1" sqref="E33:E36" xr:uid="{774C9CA8-0EB0-4B46-9967-37D54B60EC6F}">
      <formula1>$CD$116:$CD$121</formula1>
    </dataValidation>
    <dataValidation type="list" allowBlank="1" showInputMessage="1" showErrorMessage="1" sqref="E16:E19" xr:uid="{395E21B2-B2E9-430A-BA4B-5CCC7DC54C20}">
      <formula1>$CD$126:$CD$132</formula1>
    </dataValidation>
    <dataValidation type="custom" allowBlank="1" showInputMessage="1" showErrorMessage="1" error="En esta celda solamente puede ingresar valores numéricos de las emisiones, en toneladas de CO2e/año" sqref="D95" xr:uid="{B55986B8-61B7-4C29-8441-37CA0C8B28BB}">
      <formula1>ISNUMBER(D95:D202)</formula1>
    </dataValidation>
    <dataValidation type="list" allowBlank="1" showInputMessage="1" showErrorMessage="1" sqref="E37:E40" xr:uid="{EDBF9961-E95F-4C41-A5FE-174F50BD045B}">
      <formula1>$CD$126:$CD$130</formula1>
    </dataValidation>
    <dataValidation type="list" allowBlank="1" showInputMessage="1" showErrorMessage="1" sqref="E26 E46" xr:uid="{395CAD26-74C0-47CA-9A1B-C51E90C538E2}">
      <formula1>$CD$175</formula1>
    </dataValidation>
    <dataValidation type="list" allowBlank="1" showInputMessage="1" showErrorMessage="1" sqref="E20:E23" xr:uid="{294B649D-6C2E-4D28-ACEC-AF1E8A7065D7}">
      <formula1>$CD$137:$CD$139</formula1>
    </dataValidation>
    <dataValidation type="list" allowBlank="1" showInputMessage="1" showErrorMessage="1" sqref="E41:E43" xr:uid="{B449EBD4-0BD2-4BD9-9DDE-D34E93EF3E84}">
      <formula1>$CD$137:$CD$141</formula1>
    </dataValidation>
    <dataValidation type="custom" allowBlank="1" showInputMessage="1" showErrorMessage="1" error="En esta celda solamente puede ingresar valores numéricos de los datos de actividad seleccionados" sqref="G45:R46 G18:R23 G42:R43 G38:R40 G34:R36 G25:R26 G53:R58 G60:R63 G65:R71" xr:uid="{DE56032E-CE39-435A-9479-DAAE59D66F4B}">
      <formula1>ISNUMBER(G18:R18)</formula1>
    </dataValidation>
    <dataValidation type="list" allowBlank="1" showInputMessage="1" showErrorMessage="1" sqref="E25 E45" xr:uid="{5BCEA9A2-653B-42FA-8689-39CD205E7D4A}">
      <formula1>$CD$174</formula1>
    </dataValidation>
    <dataValidation type="list" allowBlank="1" showInputMessage="1" showErrorMessage="1" sqref="C86:C88" xr:uid="{903FCC65-3F5F-40FF-9FA6-0412DB31013B}">
      <formula1>$DZ$112:$DZ$114</formula1>
    </dataValidation>
    <dataValidation type="list" allowBlank="1" showInputMessage="1" showErrorMessage="1" sqref="E78:E83 E85:E88" xr:uid="{6FC267FB-48E6-4D3F-8EB8-FEFAF99F8590}">
      <formula1>$EG$112:$EG$114</formula1>
    </dataValidation>
    <dataValidation allowBlank="1" showInputMessage="1" showErrorMessage="1" error="En esta celda solamente puede ingresar valores numéricos de los datos de actividad seleccionados" sqref="H84:R88 J78:J83 L78:L83 N78:Q83" xr:uid="{A923561A-0D84-4CBC-B18C-4B7542B9EA28}"/>
    <dataValidation type="list" allowBlank="1" showInputMessage="1" showErrorMessage="1" error="En esta celda solamente puede ingresar valores numéricos de las emisiones, en toneladas de CO2e/año" sqref="D87:D88" xr:uid="{479B6AA3-5FB9-4C77-B6E0-B3CB0D1A0F11}">
      <formula1>$EI$112:$EI$124</formula1>
    </dataValidation>
    <dataValidation type="list" allowBlank="1" showInputMessage="1" showErrorMessage="1" sqref="E70:E71" xr:uid="{322B6B98-6FC8-4E4E-8755-9947CD2BF5F8}">
      <formula1>$CD$281:$CD$315</formula1>
    </dataValidation>
    <dataValidation type="list" allowBlank="1" showInputMessage="1" showErrorMessage="1" sqref="E65" xr:uid="{702BCDCE-170D-4987-BBFD-194F58B013B1}">
      <formula1>$CD$244:$CD$247</formula1>
    </dataValidation>
    <dataValidation type="list" allowBlank="1" showInputMessage="1" showErrorMessage="1" sqref="E66" xr:uid="{16655AB8-FC5C-4BF1-99FE-DF61A12C91A6}">
      <formula1>$CD$211</formula1>
    </dataValidation>
    <dataValidation type="list" allowBlank="1" showInputMessage="1" showErrorMessage="1" sqref="E67" xr:uid="{18824533-A21F-4300-B556-637822D7A6C0}">
      <formula1>$CD$216</formula1>
    </dataValidation>
    <dataValidation type="list" allowBlank="1" showInputMessage="1" showErrorMessage="1" sqref="C65:C71" xr:uid="{21C86379-E2C1-4F93-AC8A-F50C7B6B0FD1}">
      <formula1>$CE$135:$CE$136</formula1>
    </dataValidation>
    <dataValidation type="list" allowBlank="1" showInputMessage="1" showErrorMessage="1" sqref="E68:E69" xr:uid="{5180FABA-A996-43AA-860E-6CBE54C1AF3C}">
      <formula1>$CD$268:$CD$280</formula1>
    </dataValidation>
    <dataValidation allowBlank="1" showInputMessage="1" showErrorMessage="1" error="En esta celda solamente puede ingresar valores numéricos de las emisiones, en toneladas de CO2e/año" sqref="D83 C82:D82" xr:uid="{70BD073F-F2D2-4453-8802-9A5C51461824}"/>
    <dataValidation type="list" allowBlank="1" showInputMessage="1" showErrorMessage="1" error="En esta celda solamente puede ingresar valores numéricos de las emisiones, en toneladas de CO2e/año" sqref="D86 D78:D81" xr:uid="{DE2B1441-B99A-45E2-A94D-874311D54EA8}">
      <formula1>INDIRECT(C78)</formula1>
    </dataValidation>
    <dataValidation type="list" allowBlank="1" showInputMessage="1" showErrorMessage="1" sqref="C78:C80" xr:uid="{427D9F2D-28B4-45A4-A168-F9ECEBA331A9}">
      <formula1>$DZ$112:$DZ$113</formula1>
    </dataValidation>
    <dataValidation type="custom" allowBlank="1" showInputMessage="1" showErrorMessage="1" error="En esta celda solamente puede ingresar valores numéricos de los datos de actividad seleccionados" sqref="K78:K83" xr:uid="{88A6787A-F57B-4583-A8F9-22EE1CE197BB}">
      <formula1>ISNUMBER(K78:S78)</formula1>
    </dataValidation>
    <dataValidation type="list" allowBlank="1" showInputMessage="1" showErrorMessage="1" sqref="E95" xr:uid="{A797207F-23BD-45D0-9232-70A8184C973F}">
      <formula1>$CD$375:$CD$375</formula1>
    </dataValidation>
    <dataValidation type="custom" allowBlank="1" showInputMessage="1" showErrorMessage="1" error="En esta celda solamente puede ingresar valores numéricos de las emisiones, en toneladas de CO2e/año" sqref="D65" xr:uid="{06CD6F67-65D0-4A94-B83E-8E2CF3B6CBD3}">
      <formula1>ISNUMBER(D65:D180)</formula1>
    </dataValidation>
    <dataValidation type="list" allowBlank="1" showInputMessage="1" showErrorMessage="1" error="En esta celda solamente puede ingresar valores numéricos de las emisiones, en toneladas de CO2e/año" sqref="E81" xr:uid="{E54D134F-3386-4D90-8BAA-F1E42C14E5F3}">
      <formula1>INDIRECT(C81)</formula1>
    </dataValidation>
    <dataValidation type="custom" allowBlank="1" showInputMessage="1" showErrorMessage="1" error="En esta celda solamente puede ingresar valores numéricos de las emisiones, en toneladas de CO2e/año" sqref="D53:D54" xr:uid="{ED7E6359-345C-441F-A95D-44D3F29A7D93}">
      <formula1>ISNUMBER(D53:D153)</formula1>
    </dataValidation>
    <dataValidation type="custom" allowBlank="1" showInputMessage="1" showErrorMessage="1" error="En esta celda solamente puede ingresar valores numéricos de las emisiones, en toneladas de CO2e/año" sqref="D33:D43 D45:D46 D55:D58" xr:uid="{D2B8B372-EBA3-4AC4-BDC4-EB8527EBE4D5}">
      <formula1>ISNUMBER(D33:D131)</formula1>
    </dataValidation>
    <dataValidation type="custom" allowBlank="1" showInputMessage="1" showErrorMessage="1" error="En esta celda solamente puede ingresar valores numéricos de las emisiones, en toneladas de CO2e/año" sqref="D60:D63" xr:uid="{4F0801C9-AA5C-48A6-A1CD-A1505FB7BB24}">
      <formula1>ISNUMBER(D60:D153)</formula1>
    </dataValidation>
    <dataValidation type="custom" allowBlank="1" showInputMessage="1" showErrorMessage="1" error="En esta celda solamente puede ingresar valores numéricos de las emisiones, en toneladas de CO2e/año" sqref="D25:D26 D16:D23" xr:uid="{5A8F739F-2546-4F1C-A863-068C8AC00E95}">
      <formula1>ISNUMBER(D16:D112)</formula1>
    </dataValidation>
    <dataValidation type="custom" allowBlank="1" showInputMessage="1" showErrorMessage="1" error="En esta celda solamente puede ingresar valores numéricos de las emisiones, en toneladas de CO2e/año" sqref="D68:D71" xr:uid="{8ED229B4-A062-474E-839D-F34ACD159957}">
      <formula1>ISNUMBER(D68:D180)</formula1>
    </dataValidation>
    <dataValidation type="custom" allowBlank="1" showInputMessage="1" showErrorMessage="1" error="En esta celda solamente puede ingresar valores numéricos de las emisiones, en toneladas de CO2e/año" sqref="D66:D67" xr:uid="{412DB954-16D1-4B41-86A8-7234289AE960}">
      <formula1>ISNUMBER(D66:D179)</formula1>
    </dataValidation>
  </dataValidations>
  <hyperlinks>
    <hyperlink ref="S15" location="'INSTRUCCIONES INCERTIDUMBRE'!C21" display="TOTAL" xr:uid="{00000000-0004-0000-0100-000000000000}"/>
    <hyperlink ref="CA14:CA15" location="'INSTRUCCIONES INCERTIDUMBRE'!C32" display="HUELLA DE CARBONO_x000a_(t CO2 eq)" xr:uid="{00000000-0004-0000-0100-000006000000}"/>
    <hyperlink ref="CB14:CB15" location="'INSTRUCCIONES INCERTIDUMBRE'!C34" display="INCERTIDUMBRE DE LA FUENTE" xr:uid="{00000000-0004-0000-0100-000007000000}"/>
    <hyperlink ref="F15" location="'INSTRUCCIONES INCERTIDUMBRE'!C19" display="UNIDAD" xr:uid="{00000000-0004-0000-0100-000008000000}"/>
    <hyperlink ref="G15" location="'HC CORPORATIVA-INCERTIDUMBRE'!C20" display="DATO 1" xr:uid="{00000000-0004-0000-0100-000009000000}"/>
    <hyperlink ref="CP152" r:id="rId1" xr:uid="{00000000-0004-0000-0100-00000A000000}"/>
    <hyperlink ref="S32" location="'INSTRUCCIONES INCERTIDUMBRE'!C21" display="TOTAL" xr:uid="{00000000-0004-0000-0100-00000B000000}"/>
    <hyperlink ref="T32" location="'INSTRUCCIONES INCERTIDUMBRE'!C22" display="No. DATOS" xr:uid="{00000000-0004-0000-0100-00000C000000}"/>
    <hyperlink ref="CA31:CA32" location="'INSTRUCCIONES INCERTIDUMBRE'!C32" display="HUELLA DE CARBONO_x000a_(t CO2 eq)" xr:uid="{00000000-0004-0000-0100-000011000000}"/>
    <hyperlink ref="CB31:CB32" location="'INSTRUCCIONES INCERTIDUMBRE'!C34" display="INCERTIDUMBRE DE LA FUENTE" xr:uid="{00000000-0004-0000-0100-000012000000}"/>
    <hyperlink ref="F32" location="'INSTRUCCIONES INCERTIDUMBRE'!C19" display="UNIDAD" xr:uid="{00000000-0004-0000-0100-000013000000}"/>
    <hyperlink ref="CA76:CA77" location="'INSTRUCCIONES INCERTIDUMBRE'!C32" display="HUELLA DE CARBONO_x000a_(tCO2eq)" xr:uid="{00000000-0004-0000-0100-00001B000000}"/>
    <hyperlink ref="CB76:CB77" location="'INSTRUCCIONES INCERTIDUMBRE'!C34" display="INCERTIDUMBRE DE LA FUENTE" xr:uid="{00000000-0004-0000-0100-00001C000000}"/>
    <hyperlink ref="G77" location="'HC CORPORATIVA-INCERTIDUMBRE'!C20" display="DATO 1" xr:uid="{00000000-0004-0000-0100-00001E000000}"/>
    <hyperlink ref="S94" location="'INSTRUCCIONES INCERTIDUMBRE'!C21" display="TOTAL" xr:uid="{00000000-0004-0000-0100-00001F000000}"/>
    <hyperlink ref="T94" location="'INSTRUCCIONES INCERTIDUMBRE'!C22" display="No. DATOS" xr:uid="{00000000-0004-0000-0100-000020000000}"/>
    <hyperlink ref="CA93:CA94" location="'INSTRUCCIONES INCERTIDUMBRE'!C32" display="HUELLA DE CARBONO_x000a_(tCO2eq)" xr:uid="{00000000-0004-0000-0100-000025000000}"/>
    <hyperlink ref="CB93:CB94" location="'INSTRUCCIONES INCERTIDUMBRE'!C34" display="INCERTIDUMBRE DE LA FUENTE" xr:uid="{00000000-0004-0000-0100-000026000000}"/>
    <hyperlink ref="S52" location="'INSTRUCCIONES INCERTIDUMBRE'!C21" display="TOTAL" xr:uid="{00000000-0004-0000-0100-000029000000}"/>
    <hyperlink ref="T52" location="'INSTRUCCIONES INCERTIDUMBRE'!C22" display="No. DATOS" xr:uid="{00000000-0004-0000-0100-00002A000000}"/>
    <hyperlink ref="CA51:CA52" location="'INSTRUCCIONES INCERTIDUMBRE'!C32" display="HUELLA DE CARBONO_x000a_(tCO2eq)" xr:uid="{00000000-0004-0000-0100-00002F000000}"/>
    <hyperlink ref="CB51:CB52" location="'INSTRUCCIONES INCERTIDUMBRE'!C34" display="INCERTIDUMBRE DE LA FUENTE" xr:uid="{00000000-0004-0000-0100-000030000000}"/>
    <hyperlink ref="F52" location="'INSTRUCCIONES INCERTIDUMBRE'!C19" display="UNIDAD" xr:uid="{00000000-0004-0000-0100-000031000000}"/>
    <hyperlink ref="T15" location="'INSTRUCCIONES INCERTIDUMBRE'!C22" display="No. DATOS" xr:uid="{00000000-0004-0000-0100-000001000000}"/>
    <hyperlink ref="Y94" location="'INSTRUCCIONES INCERTIDUMBRE'!C26" display="INCERTIDUMBRE DATOS" xr:uid="{00000000-0004-0000-0100-000024000000}"/>
    <hyperlink ref="W94" location="'INSTRUCCIONES INCERTIDUMBRE'!C25" display="FACTOR T" xr:uid="{00000000-0004-0000-0100-000023000000}"/>
    <hyperlink ref="V94" location="'INSTRUCCIONES INCERTIDUMBRE'!C24" display="DESVIACION ESTÁNDAR" xr:uid="{00000000-0004-0000-0100-000022000000}"/>
    <hyperlink ref="U94" location="'INSTRUCCIONES INCERTIDUMBRE'!C23" display="PROMEDIO" xr:uid="{00000000-0004-0000-0100-000021000000}"/>
    <hyperlink ref="Y52" location="'INSTRUCCIONES INCERTIDUMBRE'!C26" display="INCERTIDUMBRE DATOS" xr:uid="{00000000-0004-0000-0100-00002E000000}"/>
    <hyperlink ref="W52" location="'INSTRUCCIONES INCERTIDUMBRE'!C25" display="FACTOR T" xr:uid="{00000000-0004-0000-0100-00002D000000}"/>
    <hyperlink ref="V52" location="'INSTRUCCIONES INCERTIDUMBRE'!C24" display="DESVIACION ESTÁNDAR" xr:uid="{00000000-0004-0000-0100-00002C000000}"/>
    <hyperlink ref="U52" location="'INSTRUCCIONES INCERTIDUMBRE'!C23" display="PROMEDIO" xr:uid="{00000000-0004-0000-0100-00002B000000}"/>
    <hyperlink ref="Y32" location="'INSTRUCCIONES INCERTIDUMBRE'!C26" display="INCERTIDUMBRE DATOS" xr:uid="{00000000-0004-0000-0100-000010000000}"/>
    <hyperlink ref="W32" location="'INSTRUCCIONES INCERTIDUMBRE'!C25" display="FACTOR T" xr:uid="{00000000-0004-0000-0100-00000F000000}"/>
    <hyperlink ref="V32" location="'INSTRUCCIONES INCERTIDUMBRE'!C24" display="DESVIACION ESTÁNDAR" xr:uid="{00000000-0004-0000-0100-00000E000000}"/>
    <hyperlink ref="U32" location="'INSTRUCCIONES INCERTIDUMBRE'!C23" display="PROMEDIO" xr:uid="{00000000-0004-0000-0100-00000D000000}"/>
    <hyperlink ref="U15" location="'INSTRUCCIONES INCERTIDUMBRE'!C23" display="PROMEDIO" xr:uid="{00000000-0004-0000-0100-000002000000}"/>
    <hyperlink ref="V15" location="'INSTRUCCIONES INCERTIDUMBRE'!C24" display="DESVIACION ESTÁNDAR" xr:uid="{00000000-0004-0000-0100-000003000000}"/>
    <hyperlink ref="W15" location="'INSTRUCCIONES INCERTIDUMBRE'!C25" display="FACTOR T" xr:uid="{00000000-0004-0000-0100-000004000000}"/>
    <hyperlink ref="Y15" location="'INSTRUCCIONES INCERTIDUMBRE'!C26" display="INCERTIDUMBRE DATOS" xr:uid="{00000000-0004-0000-0100-000005000000}"/>
    <hyperlink ref="G32" location="'HC CORPORATIVA-INCERTIDUMBRE'!C20" display="DATO 1" xr:uid="{D7B75917-BC3A-4DCC-8151-EEA33DA25DA4}"/>
    <hyperlink ref="G52" location="'HC CORPORATIVA-INCERTIDUMBRE'!C20" display="DATO 1" xr:uid="{4D3819A2-21C2-4295-BC7D-0B7A6CED312B}"/>
    <hyperlink ref="G94" location="'HC CORPORATIVA-INCERTIDUMBRE'!C20" display="DATO 1" xr:uid="{A24CC327-2D76-4FB9-ABE0-C2556D6CD91E}"/>
    <hyperlink ref="F94" location="'INSTRUCCIONES INCERTIDUMBRE'!C19" display="UNIDAD" xr:uid="{00000000-0004-0000-0100-000027000000}"/>
  </hyperlinks>
  <pageMargins left="0.7" right="0.7" top="0.75" bottom="0.75" header="0.3" footer="0.3"/>
  <pageSetup scale="10" orientation="portrait" r:id="rId2"/>
  <colBreaks count="1" manualBreakCount="1">
    <brk id="80" max="1048575" man="1"/>
  </colBreaks>
  <ignoredErrors>
    <ignoredError sqref="BQ59:BR62" formula="1"/>
    <ignoredError sqref="H85:H88 J85:M88 P82 O83:P83 P78:P80" unlockedFormula="1"/>
    <ignoredError sqref="AE82:AE83 AE79:AE80" evalError="1"/>
  </ignoredErrors>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1A1D-BE9E-4DD4-98B2-45C107899F99}">
  <sheetPr>
    <tabColor rgb="FF2FB9CE"/>
  </sheetPr>
  <dimension ref="B1:M60"/>
  <sheetViews>
    <sheetView workbookViewId="0"/>
  </sheetViews>
  <sheetFormatPr baseColWidth="10" defaultColWidth="11" defaultRowHeight="14.25"/>
  <cols>
    <col min="1" max="1" width="5.46484375" customWidth="1"/>
    <col min="2" max="2" width="38.1328125" customWidth="1"/>
    <col min="3" max="3" width="70.86328125" customWidth="1"/>
    <col min="4" max="4" width="33.46484375" customWidth="1"/>
    <col min="5" max="5" width="37.46484375" customWidth="1"/>
    <col min="6" max="6" width="43" customWidth="1"/>
    <col min="7" max="7" width="42.46484375" customWidth="1"/>
    <col min="9" max="10" width="10.86328125" customWidth="1"/>
    <col min="11" max="11" width="38.73046875" customWidth="1"/>
    <col min="12" max="12" width="12.86328125" customWidth="1"/>
    <col min="13" max="13" width="11.86328125" customWidth="1"/>
  </cols>
  <sheetData>
    <row r="1" spans="2:13" ht="27" customHeight="1" thickBot="1"/>
    <row r="2" spans="2:13">
      <c r="B2" s="740" t="s">
        <v>1</v>
      </c>
      <c r="C2" s="741"/>
      <c r="D2" s="741"/>
      <c r="E2" s="741"/>
      <c r="F2" s="741"/>
      <c r="G2" s="741"/>
      <c r="H2" s="741"/>
      <c r="I2" s="741"/>
      <c r="J2" s="741"/>
      <c r="K2" s="741"/>
      <c r="L2" s="741"/>
      <c r="M2" s="742"/>
    </row>
    <row r="3" spans="2:13" ht="14.65" thickBot="1">
      <c r="B3" s="743"/>
      <c r="C3" s="744"/>
      <c r="D3" s="744"/>
      <c r="E3" s="744"/>
      <c r="F3" s="744"/>
      <c r="G3" s="744"/>
      <c r="H3" s="744"/>
      <c r="I3" s="744"/>
      <c r="J3" s="744"/>
      <c r="K3" s="744"/>
      <c r="L3" s="744"/>
      <c r="M3" s="745"/>
    </row>
    <row r="4" spans="2:13" ht="19.5" customHeight="1" thickBot="1">
      <c r="B4" s="179"/>
      <c r="C4" s="179"/>
      <c r="D4" s="179"/>
      <c r="E4" s="195"/>
      <c r="F4" s="26"/>
      <c r="G4" s="27"/>
      <c r="H4" s="27"/>
      <c r="I4" s="27"/>
      <c r="J4" s="27"/>
      <c r="K4" s="27"/>
      <c r="L4" s="27"/>
      <c r="M4" s="27"/>
    </row>
    <row r="5" spans="2:13" ht="18.75" customHeight="1" thickBot="1">
      <c r="B5" s="812" t="s">
        <v>2</v>
      </c>
      <c r="C5" s="813"/>
      <c r="D5" s="813"/>
      <c r="E5" s="813"/>
      <c r="F5" s="813"/>
      <c r="G5" s="813"/>
      <c r="H5" s="813"/>
      <c r="I5" s="813"/>
      <c r="J5" s="813"/>
      <c r="K5" s="813"/>
      <c r="L5" s="813"/>
      <c r="M5" s="814"/>
    </row>
    <row r="6" spans="2:13" ht="15" customHeight="1">
      <c r="B6" s="413" t="s">
        <v>3</v>
      </c>
      <c r="C6" s="815">
        <f>EMISIONES!C6</f>
        <v>0</v>
      </c>
      <c r="D6" s="815"/>
      <c r="E6" s="815"/>
      <c r="F6" s="414" t="s">
        <v>796</v>
      </c>
      <c r="G6" s="815">
        <f>EMISIONES!H6</f>
        <v>0</v>
      </c>
      <c r="H6" s="815"/>
      <c r="I6" s="815"/>
      <c r="J6" s="815"/>
      <c r="K6" s="815"/>
      <c r="L6" s="815"/>
      <c r="M6" s="816"/>
    </row>
    <row r="7" spans="2:13" ht="15" customHeight="1">
      <c r="B7" s="197" t="s">
        <v>5</v>
      </c>
      <c r="C7" s="817">
        <f>EMISIONES!C7</f>
        <v>0</v>
      </c>
      <c r="D7" s="817"/>
      <c r="E7" s="817"/>
      <c r="F7" s="415" t="s">
        <v>6</v>
      </c>
      <c r="G7" s="817">
        <f>EMISIONES!H7</f>
        <v>0</v>
      </c>
      <c r="H7" s="817"/>
      <c r="I7" s="817"/>
      <c r="J7" s="817"/>
      <c r="K7" s="817"/>
      <c r="L7" s="817"/>
      <c r="M7" s="818"/>
    </row>
    <row r="8" spans="2:13" ht="15" customHeight="1">
      <c r="B8" s="197" t="s">
        <v>7</v>
      </c>
      <c r="C8" s="817">
        <f>EMISIONES!C8</f>
        <v>0</v>
      </c>
      <c r="D8" s="817"/>
      <c r="E8" s="817"/>
      <c r="F8" s="415" t="s">
        <v>8</v>
      </c>
      <c r="G8" s="817">
        <f>EMISIONES!H8</f>
        <v>0</v>
      </c>
      <c r="H8" s="817"/>
      <c r="I8" s="817"/>
      <c r="J8" s="817"/>
      <c r="K8" s="817"/>
      <c r="L8" s="817"/>
      <c r="M8" s="818"/>
    </row>
    <row r="9" spans="2:13" ht="15" customHeight="1">
      <c r="B9" s="197" t="s">
        <v>9</v>
      </c>
      <c r="C9" s="817">
        <f>EMISIONES!C9</f>
        <v>0</v>
      </c>
      <c r="D9" s="817"/>
      <c r="E9" s="817"/>
      <c r="F9" s="415" t="s">
        <v>10</v>
      </c>
      <c r="G9" s="817">
        <f>EMISIONES!H9</f>
        <v>0</v>
      </c>
      <c r="H9" s="817"/>
      <c r="I9" s="817"/>
      <c r="J9" s="817"/>
      <c r="K9" s="817"/>
      <c r="L9" s="817"/>
      <c r="M9" s="818"/>
    </row>
    <row r="10" spans="2:13" ht="14.65" thickBot="1">
      <c r="B10" s="198" t="s">
        <v>11</v>
      </c>
      <c r="C10" s="819">
        <f>EMISIONES!C10</f>
        <v>0</v>
      </c>
      <c r="D10" s="819"/>
      <c r="E10" s="819"/>
      <c r="F10" s="416" t="s">
        <v>797</v>
      </c>
      <c r="G10" s="819">
        <f>EMISIONES!H10</f>
        <v>0</v>
      </c>
      <c r="H10" s="819"/>
      <c r="I10" s="819"/>
      <c r="J10" s="819"/>
      <c r="K10" s="819"/>
      <c r="L10" s="819"/>
      <c r="M10" s="820"/>
    </row>
    <row r="11" spans="2:13" ht="14.65" thickBot="1"/>
    <row r="12" spans="2:13" ht="30.4">
      <c r="B12" s="757" t="s">
        <v>798</v>
      </c>
      <c r="C12" s="758"/>
      <c r="D12" s="758"/>
      <c r="E12" s="759"/>
    </row>
    <row r="13" spans="2:13" ht="30.95" customHeight="1">
      <c r="B13" s="451" t="s">
        <v>189</v>
      </c>
      <c r="C13" s="452" t="s">
        <v>799</v>
      </c>
      <c r="D13" s="452" t="s">
        <v>800</v>
      </c>
      <c r="E13" s="469" t="s">
        <v>801</v>
      </c>
    </row>
    <row r="14" spans="2:13" ht="15.95" customHeight="1">
      <c r="B14" s="462" t="s">
        <v>802</v>
      </c>
      <c r="C14" s="463" t="s">
        <v>191</v>
      </c>
      <c r="D14" s="463" t="s">
        <v>803</v>
      </c>
      <c r="E14" s="464" t="s">
        <v>804</v>
      </c>
    </row>
    <row r="15" spans="2:13" ht="15.95" customHeight="1">
      <c r="B15" s="462" t="s">
        <v>805</v>
      </c>
      <c r="C15" s="463" t="s">
        <v>178</v>
      </c>
      <c r="D15" s="463" t="s">
        <v>803</v>
      </c>
      <c r="E15" s="464" t="s">
        <v>806</v>
      </c>
    </row>
    <row r="16" spans="2:13" ht="15.95" customHeight="1" thickBot="1">
      <c r="B16" s="465" t="s">
        <v>807</v>
      </c>
      <c r="C16" s="466" t="s">
        <v>174</v>
      </c>
      <c r="D16" s="467" t="s">
        <v>808</v>
      </c>
      <c r="E16" s="468" t="s">
        <v>809</v>
      </c>
    </row>
    <row r="17" spans="2:10">
      <c r="B17" s="54" t="s">
        <v>810</v>
      </c>
    </row>
    <row r="18" spans="2:10" ht="14.65" thickBot="1">
      <c r="B18" s="54"/>
    </row>
    <row r="19" spans="2:10" ht="30.4">
      <c r="B19" s="825" t="s">
        <v>811</v>
      </c>
      <c r="C19" s="826"/>
      <c r="D19" s="826"/>
      <c r="E19" s="826"/>
      <c r="F19" s="826"/>
      <c r="G19" s="826"/>
      <c r="H19" s="826"/>
      <c r="I19" s="826"/>
      <c r="J19" s="827"/>
    </row>
    <row r="20" spans="2:10" ht="15.4">
      <c r="B20" s="451" t="s">
        <v>187</v>
      </c>
      <c r="C20" s="452" t="s">
        <v>129</v>
      </c>
      <c r="D20" s="452" t="s">
        <v>188</v>
      </c>
      <c r="E20" s="828" t="s">
        <v>189</v>
      </c>
      <c r="F20" s="828"/>
      <c r="G20" s="828"/>
      <c r="H20" s="829" t="s">
        <v>203</v>
      </c>
      <c r="I20" s="829"/>
      <c r="J20" s="830"/>
    </row>
    <row r="21" spans="2:10" ht="15.4">
      <c r="B21" s="831" t="s">
        <v>202</v>
      </c>
      <c r="C21" s="805"/>
      <c r="D21" s="805"/>
      <c r="E21" s="453" t="s">
        <v>174</v>
      </c>
      <c r="F21" s="453" t="s">
        <v>178</v>
      </c>
      <c r="G21" s="453" t="s">
        <v>191</v>
      </c>
      <c r="H21" s="829"/>
      <c r="I21" s="829"/>
      <c r="J21" s="830"/>
    </row>
    <row r="22" spans="2:10" ht="15.4">
      <c r="B22" s="800" t="s">
        <v>293</v>
      </c>
      <c r="C22" s="802" t="s">
        <v>812</v>
      </c>
      <c r="D22" s="543" t="s">
        <v>173</v>
      </c>
      <c r="E22" s="544">
        <v>160.55000000000001</v>
      </c>
      <c r="F22" s="544">
        <v>160.55000000000001</v>
      </c>
      <c r="G22" s="544">
        <v>160.55000000000001</v>
      </c>
      <c r="H22" s="821" t="s">
        <v>295</v>
      </c>
      <c r="I22" s="821"/>
      <c r="J22" s="822"/>
    </row>
    <row r="23" spans="2:10" ht="15.4">
      <c r="B23" s="800"/>
      <c r="C23" s="802"/>
      <c r="D23" s="543" t="s">
        <v>251</v>
      </c>
      <c r="E23" s="544">
        <v>94.17</v>
      </c>
      <c r="F23" s="544">
        <v>94.17</v>
      </c>
      <c r="G23" s="544">
        <v>94.17</v>
      </c>
      <c r="H23" s="821"/>
      <c r="I23" s="821"/>
      <c r="J23" s="822"/>
    </row>
    <row r="24" spans="2:10" ht="15.4">
      <c r="B24" s="800"/>
      <c r="C24" s="802"/>
      <c r="D24" s="543" t="s">
        <v>190</v>
      </c>
      <c r="E24" s="546"/>
      <c r="F24" s="544">
        <v>75.67</v>
      </c>
      <c r="G24" s="544">
        <v>75.67</v>
      </c>
      <c r="H24" s="821"/>
      <c r="I24" s="821"/>
      <c r="J24" s="822"/>
    </row>
    <row r="25" spans="2:10" ht="15.4">
      <c r="B25" s="800"/>
      <c r="C25" s="802"/>
      <c r="D25" s="543" t="s">
        <v>226</v>
      </c>
      <c r="E25" s="544">
        <v>150</v>
      </c>
      <c r="F25" s="544">
        <v>240</v>
      </c>
      <c r="G25" s="544">
        <v>120</v>
      </c>
      <c r="H25" s="545" t="s">
        <v>304</v>
      </c>
      <c r="I25" s="547"/>
      <c r="J25" s="548"/>
    </row>
    <row r="26" spans="2:10" ht="15.4">
      <c r="B26" s="800"/>
      <c r="C26" s="802"/>
      <c r="D26" s="543" t="s">
        <v>231</v>
      </c>
      <c r="E26" s="544">
        <v>300</v>
      </c>
      <c r="F26" s="544">
        <v>270</v>
      </c>
      <c r="G26" s="544">
        <v>270</v>
      </c>
      <c r="H26" s="545" t="s">
        <v>304</v>
      </c>
      <c r="I26" s="547"/>
      <c r="J26" s="548"/>
    </row>
    <row r="27" spans="2:10" ht="15.75" thickBot="1">
      <c r="B27" s="801"/>
      <c r="C27" s="803"/>
      <c r="D27" s="549" t="s">
        <v>219</v>
      </c>
      <c r="E27" s="550">
        <v>28.72</v>
      </c>
      <c r="F27" s="550">
        <v>28.72</v>
      </c>
      <c r="G27" s="550">
        <v>28.72</v>
      </c>
      <c r="H27" s="823" t="s">
        <v>295</v>
      </c>
      <c r="I27" s="823"/>
      <c r="J27" s="824"/>
    </row>
    <row r="28" spans="2:10">
      <c r="B28" s="54" t="s">
        <v>813</v>
      </c>
      <c r="C28" s="457"/>
      <c r="D28" s="458"/>
      <c r="E28" s="459"/>
      <c r="F28" s="459"/>
      <c r="G28" s="459"/>
      <c r="H28" s="460"/>
      <c r="I28" s="460"/>
      <c r="J28" s="460"/>
    </row>
    <row r="29" spans="2:10" ht="14.65" thickBot="1">
      <c r="H29" s="54"/>
      <c r="I29" s="54"/>
      <c r="J29" s="54"/>
    </row>
    <row r="30" spans="2:10" ht="61.5" customHeight="1">
      <c r="B30" s="797" t="s">
        <v>814</v>
      </c>
      <c r="C30" s="799"/>
    </row>
    <row r="31" spans="2:10" ht="15.75" thickBot="1">
      <c r="B31" s="455" t="s">
        <v>815</v>
      </c>
      <c r="C31" s="456" t="s">
        <v>188</v>
      </c>
    </row>
    <row r="32" spans="2:10" ht="15.4">
      <c r="B32" s="810" t="s">
        <v>816</v>
      </c>
      <c r="C32" s="551" t="s">
        <v>173</v>
      </c>
    </row>
    <row r="33" spans="2:4" ht="15.4">
      <c r="B33" s="800"/>
      <c r="C33" s="552" t="s">
        <v>177</v>
      </c>
    </row>
    <row r="34" spans="2:4" ht="15.4">
      <c r="B34" s="800"/>
      <c r="C34" s="552" t="s">
        <v>190</v>
      </c>
    </row>
    <row r="35" spans="2:4" ht="15.4">
      <c r="B35" s="800"/>
      <c r="C35" s="552" t="s">
        <v>226</v>
      </c>
    </row>
    <row r="36" spans="2:4" ht="15.4">
      <c r="B36" s="800"/>
      <c r="C36" s="552" t="s">
        <v>231</v>
      </c>
    </row>
    <row r="37" spans="2:4" ht="15.75" thickBot="1">
      <c r="B37" s="801"/>
      <c r="C37" s="553" t="s">
        <v>219</v>
      </c>
    </row>
    <row r="38" spans="2:4" ht="15.4">
      <c r="B38" s="808" t="s">
        <v>817</v>
      </c>
      <c r="C38" s="551" t="s">
        <v>228</v>
      </c>
    </row>
    <row r="39" spans="2:4" ht="15.4">
      <c r="B39" s="811"/>
      <c r="C39" s="552" t="s">
        <v>223</v>
      </c>
    </row>
    <row r="40" spans="2:4" ht="15.75" thickBot="1">
      <c r="B40" s="809"/>
      <c r="C40" s="553" t="s">
        <v>232</v>
      </c>
    </row>
    <row r="41" spans="2:4" ht="15.4">
      <c r="B41" s="808" t="s">
        <v>147</v>
      </c>
      <c r="C41" s="551" t="s">
        <v>223</v>
      </c>
    </row>
    <row r="42" spans="2:4" ht="15.75" thickBot="1">
      <c r="B42" s="809"/>
      <c r="C42" s="553" t="s">
        <v>147</v>
      </c>
    </row>
    <row r="43" spans="2:4" ht="15.75" thickBot="1">
      <c r="B43" s="554" t="s">
        <v>148</v>
      </c>
      <c r="C43" s="555" t="s">
        <v>223</v>
      </c>
    </row>
    <row r="44" spans="2:4">
      <c r="B44" s="54" t="s">
        <v>818</v>
      </c>
    </row>
    <row r="45" spans="2:4" ht="14.65" thickBot="1">
      <c r="C45" s="54"/>
    </row>
    <row r="46" spans="2:4" ht="65.45" customHeight="1">
      <c r="B46" s="797" t="s">
        <v>819</v>
      </c>
      <c r="C46" s="798"/>
      <c r="D46" s="799"/>
    </row>
    <row r="47" spans="2:4" ht="17.649999999999999">
      <c r="B47" s="804" t="s">
        <v>820</v>
      </c>
      <c r="C47" s="805" t="s">
        <v>821</v>
      </c>
      <c r="D47" s="806"/>
    </row>
    <row r="48" spans="2:4" ht="15.4">
      <c r="B48" s="804"/>
      <c r="C48" s="452" t="s">
        <v>822</v>
      </c>
      <c r="D48" s="469" t="s">
        <v>823</v>
      </c>
    </row>
    <row r="49" spans="2:4" ht="15.4">
      <c r="B49" s="561" t="s">
        <v>824</v>
      </c>
      <c r="C49" s="556">
        <v>9</v>
      </c>
      <c r="D49" s="557">
        <v>4</v>
      </c>
    </row>
    <row r="50" spans="2:4" ht="15.4">
      <c r="B50" s="561" t="s">
        <v>825</v>
      </c>
      <c r="C50" s="556">
        <v>4</v>
      </c>
      <c r="D50" s="557">
        <v>1.75</v>
      </c>
    </row>
    <row r="51" spans="2:4" ht="15.4">
      <c r="B51" s="561" t="s">
        <v>826</v>
      </c>
      <c r="C51" s="556">
        <v>2.8</v>
      </c>
      <c r="D51" s="557">
        <v>1.25</v>
      </c>
    </row>
    <row r="52" spans="2:4" ht="15.4">
      <c r="B52" s="561" t="s">
        <v>827</v>
      </c>
      <c r="C52" s="556">
        <v>2.0499999999999998</v>
      </c>
      <c r="D52" s="557">
        <v>1</v>
      </c>
    </row>
    <row r="53" spans="2:4" ht="15.4">
      <c r="B53" s="561" t="s">
        <v>828</v>
      </c>
      <c r="C53" s="556">
        <v>1.7</v>
      </c>
      <c r="D53" s="557">
        <v>0.8</v>
      </c>
    </row>
    <row r="54" spans="2:4" ht="15.4">
      <c r="B54" s="561" t="s">
        <v>829</v>
      </c>
      <c r="C54" s="556">
        <v>1.5</v>
      </c>
      <c r="D54" s="557">
        <v>0.76</v>
      </c>
    </row>
    <row r="55" spans="2:4" ht="15.4">
      <c r="B55" s="561" t="s">
        <v>830</v>
      </c>
      <c r="C55" s="556">
        <v>1.3</v>
      </c>
      <c r="D55" s="557">
        <v>0.7</v>
      </c>
    </row>
    <row r="56" spans="2:4" ht="15.75" thickBot="1">
      <c r="B56" s="558" t="s">
        <v>831</v>
      </c>
      <c r="C56" s="559">
        <v>0.95</v>
      </c>
      <c r="D56" s="560">
        <v>0.7</v>
      </c>
    </row>
    <row r="57" spans="2:4" ht="15.4">
      <c r="B57" s="54" t="s">
        <v>818</v>
      </c>
      <c r="C57" s="542"/>
      <c r="D57" s="542"/>
    </row>
    <row r="58" spans="2:4" ht="15.4">
      <c r="B58" s="807" t="s">
        <v>832</v>
      </c>
      <c r="C58" s="807"/>
      <c r="D58" s="807"/>
    </row>
    <row r="59" spans="2:4" ht="30.6" customHeight="1">
      <c r="B59" s="795" t="s">
        <v>833</v>
      </c>
      <c r="C59" s="795"/>
      <c r="D59" s="795"/>
    </row>
    <row r="60" spans="2:4" ht="79.5" customHeight="1">
      <c r="B60" s="796" t="s">
        <v>834</v>
      </c>
      <c r="C60" s="796"/>
      <c r="D60" s="796"/>
    </row>
  </sheetData>
  <sheetProtection algorithmName="SHA-512" hashValue="kLCrLfrgofCcMLlVh570FBxA3144pM22uRs2Y0eVFhJn2Ikbo39NNaYRnPZvN8Je70G6NVsZgpnq4vRC1Hvjrw==" saltValue="lcPvGmRW8T0gJNpC9jnkWw==" spinCount="100000" sheet="1" formatCells="0" formatColumns="0" formatRows="0" insertColumns="0" insertRows="0" insertHyperlinks="0" deleteColumns="0" deleteRows="0" sort="0" autoFilter="0" pivotTables="0"/>
  <mergeCells count="31">
    <mergeCell ref="H22:J24"/>
    <mergeCell ref="H27:J27"/>
    <mergeCell ref="B19:J19"/>
    <mergeCell ref="E20:G20"/>
    <mergeCell ref="H20:J21"/>
    <mergeCell ref="B21:D21"/>
    <mergeCell ref="C10:E10"/>
    <mergeCell ref="G10:M10"/>
    <mergeCell ref="C8:E8"/>
    <mergeCell ref="G8:M8"/>
    <mergeCell ref="C9:E9"/>
    <mergeCell ref="G9:M9"/>
    <mergeCell ref="B2:M3"/>
    <mergeCell ref="B5:M5"/>
    <mergeCell ref="C6:E6"/>
    <mergeCell ref="G6:M6"/>
    <mergeCell ref="C7:E7"/>
    <mergeCell ref="G7:M7"/>
    <mergeCell ref="B59:D59"/>
    <mergeCell ref="B60:D60"/>
    <mergeCell ref="B46:D46"/>
    <mergeCell ref="B12:E12"/>
    <mergeCell ref="B22:B27"/>
    <mergeCell ref="C22:C27"/>
    <mergeCell ref="B47:B48"/>
    <mergeCell ref="C47:D47"/>
    <mergeCell ref="B58:D58"/>
    <mergeCell ref="B41:B42"/>
    <mergeCell ref="B30:C30"/>
    <mergeCell ref="B32:B37"/>
    <mergeCell ref="B38:B40"/>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2FB9CE"/>
  </sheetPr>
  <dimension ref="A1:Q181"/>
  <sheetViews>
    <sheetView workbookViewId="0"/>
  </sheetViews>
  <sheetFormatPr baseColWidth="10" defaultColWidth="11.46484375" defaultRowHeight="15.75"/>
  <cols>
    <col min="1" max="1" width="16.73046875" style="8" customWidth="1"/>
    <col min="2" max="2" width="30" style="8" customWidth="1"/>
    <col min="3" max="3" width="20.265625" style="8" customWidth="1"/>
    <col min="4" max="4" width="20.265625" style="9" customWidth="1"/>
    <col min="5" max="10" width="20.265625" style="8" customWidth="1"/>
    <col min="11" max="12" width="11.46484375" style="8"/>
    <col min="13" max="16384" width="11.46484375" style="10"/>
  </cols>
  <sheetData>
    <row r="1" spans="1:17">
      <c r="A1" s="11"/>
      <c r="B1" s="11"/>
      <c r="C1" s="11"/>
      <c r="D1" s="12"/>
      <c r="E1" s="11"/>
      <c r="F1" s="11"/>
      <c r="G1" s="11"/>
      <c r="H1" s="11"/>
      <c r="I1" s="11"/>
      <c r="J1" s="11"/>
    </row>
    <row r="2" spans="1:17" ht="16.149999999999999" thickBot="1">
      <c r="A2" s="11"/>
      <c r="B2" s="11"/>
      <c r="C2" s="11"/>
      <c r="D2" s="12"/>
      <c r="E2" s="11"/>
      <c r="F2" s="11"/>
      <c r="G2" s="11"/>
      <c r="H2" s="11"/>
      <c r="I2" s="11"/>
      <c r="J2" s="11"/>
    </row>
    <row r="3" spans="1:17" ht="48.75" thickBot="1">
      <c r="A3" s="336" t="s">
        <v>835</v>
      </c>
      <c r="B3" s="337" t="s">
        <v>836</v>
      </c>
      <c r="C3" s="338" t="s">
        <v>837</v>
      </c>
      <c r="D3" s="338" t="s">
        <v>838</v>
      </c>
      <c r="E3" s="338" t="s">
        <v>839</v>
      </c>
      <c r="F3" s="338" t="s">
        <v>840</v>
      </c>
      <c r="G3" s="338" t="s">
        <v>841</v>
      </c>
      <c r="H3" s="338" t="s">
        <v>842</v>
      </c>
      <c r="I3" s="338" t="s">
        <v>843</v>
      </c>
      <c r="J3" s="339" t="s">
        <v>844</v>
      </c>
    </row>
    <row r="4" spans="1:17">
      <c r="A4" s="838">
        <v>1</v>
      </c>
      <c r="B4" s="610" t="s">
        <v>184</v>
      </c>
      <c r="C4" s="611">
        <f>EMISIONES!AE28</f>
        <v>0</v>
      </c>
      <c r="D4" s="611">
        <f>EMISIONES!AM28</f>
        <v>0</v>
      </c>
      <c r="E4" s="611">
        <f>EMISIONES!AU28</f>
        <v>0</v>
      </c>
      <c r="F4" s="611">
        <f>EMISIONES!BB28</f>
        <v>0</v>
      </c>
      <c r="G4" s="611">
        <f>EMISIONES!BI28</f>
        <v>0</v>
      </c>
      <c r="H4" s="611">
        <f>EMISIONES!BQ28</f>
        <v>0</v>
      </c>
      <c r="I4" s="611">
        <f>EMISIONES!CA28</f>
        <v>0</v>
      </c>
      <c r="J4" s="612" t="e">
        <f t="shared" ref="J4:J11" si="0">+I4/$I$11</f>
        <v>#DIV/0!</v>
      </c>
      <c r="Q4" s="15"/>
    </row>
    <row r="5" spans="1:17">
      <c r="A5" s="839"/>
      <c r="B5" s="613" t="s">
        <v>183</v>
      </c>
      <c r="C5" s="611">
        <f>EMISIONES!AE48</f>
        <v>0</v>
      </c>
      <c r="D5" s="614">
        <f>EMISIONES!AM48</f>
        <v>0</v>
      </c>
      <c r="E5" s="614">
        <f>EMISIONES!AU48</f>
        <v>0</v>
      </c>
      <c r="F5" s="614">
        <f>EMISIONES!BB48</f>
        <v>0</v>
      </c>
      <c r="G5" s="614">
        <f>EMISIONES!BI48</f>
        <v>0</v>
      </c>
      <c r="H5" s="614">
        <f>EMISIONES!BQ48</f>
        <v>0</v>
      </c>
      <c r="I5" s="614">
        <f>EMISIONES!CA48</f>
        <v>0</v>
      </c>
      <c r="J5" s="615" t="e">
        <f t="shared" si="0"/>
        <v>#DIV/0!</v>
      </c>
      <c r="Q5" s="15"/>
    </row>
    <row r="6" spans="1:17">
      <c r="A6" s="839"/>
      <c r="B6" s="613" t="s">
        <v>845</v>
      </c>
      <c r="C6" s="611">
        <f>EMISIONES!AE73</f>
        <v>0</v>
      </c>
      <c r="D6" s="614">
        <f>EMISIONES!AM73</f>
        <v>0</v>
      </c>
      <c r="E6" s="614">
        <f>EMISIONES!AU73</f>
        <v>0</v>
      </c>
      <c r="F6" s="614">
        <f>EMISIONES!BB73</f>
        <v>0</v>
      </c>
      <c r="G6" s="614">
        <f>EMISIONES!BI73</f>
        <v>0</v>
      </c>
      <c r="H6" s="614">
        <f>EMISIONES!BQ73</f>
        <v>0</v>
      </c>
      <c r="I6" s="614">
        <f>EMISIONES!CA73</f>
        <v>0</v>
      </c>
      <c r="J6" s="615" t="e">
        <f t="shared" ref="J6" si="1">+I6/$I$11</f>
        <v>#DIV/0!</v>
      </c>
      <c r="Q6" s="15"/>
    </row>
    <row r="7" spans="1:17">
      <c r="A7" s="839"/>
      <c r="B7" s="613" t="s">
        <v>846</v>
      </c>
      <c r="C7" s="611">
        <f>EMISIONES!AE89</f>
        <v>0</v>
      </c>
      <c r="D7" s="614">
        <f>EMISIONES!AM89</f>
        <v>0</v>
      </c>
      <c r="E7" s="614">
        <f>EMISIONES!AU89</f>
        <v>0</v>
      </c>
      <c r="F7" s="614">
        <f>EMISIONES!BB89</f>
        <v>0</v>
      </c>
      <c r="G7" s="614">
        <f>EMISIONES!BI89</f>
        <v>0</v>
      </c>
      <c r="H7" s="614">
        <f>EMISIONES!BQ89</f>
        <v>0</v>
      </c>
      <c r="I7" s="614">
        <f>EMISIONES!CA89</f>
        <v>0</v>
      </c>
      <c r="J7" s="615" t="e">
        <f t="shared" si="0"/>
        <v>#DIV/0!</v>
      </c>
      <c r="Q7" s="15"/>
    </row>
    <row r="8" spans="1:17" ht="21.95" customHeight="1">
      <c r="A8" s="840"/>
      <c r="B8" s="341" t="s">
        <v>847</v>
      </c>
      <c r="C8" s="305">
        <f>EMISIONES!AE90</f>
        <v>0</v>
      </c>
      <c r="D8" s="305">
        <f>EMISIONES!AM90</f>
        <v>0</v>
      </c>
      <c r="E8" s="305">
        <f>EMISIONES!AU90</f>
        <v>0</v>
      </c>
      <c r="F8" s="305">
        <f>EMISIONES!BB90</f>
        <v>0</v>
      </c>
      <c r="G8" s="305">
        <f>EMISIONES!BI90</f>
        <v>0</v>
      </c>
      <c r="H8" s="305">
        <f>EMISIONES!BQ90</f>
        <v>0</v>
      </c>
      <c r="I8" s="305">
        <f>EMISIONES!CA90</f>
        <v>0</v>
      </c>
      <c r="J8" s="342" t="e">
        <f t="shared" si="0"/>
        <v>#DIV/0!</v>
      </c>
      <c r="Q8" s="15"/>
    </row>
    <row r="9" spans="1:17">
      <c r="A9" s="841">
        <v>2</v>
      </c>
      <c r="B9" s="613" t="s">
        <v>848</v>
      </c>
      <c r="C9" s="614">
        <f>EMISIONES!AE96</f>
        <v>0</v>
      </c>
      <c r="D9" s="614">
        <f>EMISIONES!AM96</f>
        <v>0</v>
      </c>
      <c r="E9" s="614">
        <f>EMISIONES!AU96</f>
        <v>0</v>
      </c>
      <c r="F9" s="614">
        <f>EMISIONES!BB96</f>
        <v>0</v>
      </c>
      <c r="G9" s="614">
        <f>EMISIONES!BI96</f>
        <v>0</v>
      </c>
      <c r="H9" s="614">
        <f>EMISIONES!BQ96</f>
        <v>0</v>
      </c>
      <c r="I9" s="614">
        <f>EMISIONES!CA96</f>
        <v>0</v>
      </c>
      <c r="J9" s="615" t="e">
        <f t="shared" si="0"/>
        <v>#DIV/0!</v>
      </c>
      <c r="Q9" s="15"/>
    </row>
    <row r="10" spans="1:17" ht="21.95" customHeight="1" thickBot="1">
      <c r="A10" s="841"/>
      <c r="B10" s="341" t="s">
        <v>847</v>
      </c>
      <c r="C10" s="305">
        <f>EMISIONES!AE96</f>
        <v>0</v>
      </c>
      <c r="D10" s="305">
        <f>EMISIONES!AM96</f>
        <v>0</v>
      </c>
      <c r="E10" s="305">
        <f>EMISIONES!AU96</f>
        <v>0</v>
      </c>
      <c r="F10" s="305">
        <f>EMISIONES!BB96</f>
        <v>0</v>
      </c>
      <c r="G10" s="305">
        <f>EMISIONES!BI96</f>
        <v>0</v>
      </c>
      <c r="H10" s="305">
        <f>EMISIONES!BQ96</f>
        <v>0</v>
      </c>
      <c r="I10" s="305">
        <f>EMISIONES!CA96</f>
        <v>0</v>
      </c>
      <c r="J10" s="342" t="e">
        <f t="shared" si="0"/>
        <v>#DIV/0!</v>
      </c>
      <c r="Q10" s="15"/>
    </row>
    <row r="11" spans="1:17" ht="30" customHeight="1" thickBot="1">
      <c r="A11" s="844" t="s">
        <v>849</v>
      </c>
      <c r="B11" s="845"/>
      <c r="C11" s="343">
        <f>EMISIONES!AE99</f>
        <v>0</v>
      </c>
      <c r="D11" s="343">
        <f>EMISIONES!AM99</f>
        <v>0</v>
      </c>
      <c r="E11" s="343">
        <f>EMISIONES!AU99</f>
        <v>0</v>
      </c>
      <c r="F11" s="343">
        <f>EMISIONES!BB99</f>
        <v>0</v>
      </c>
      <c r="G11" s="343">
        <f>EMISIONES!BI99</f>
        <v>0</v>
      </c>
      <c r="H11" s="343">
        <f>EMISIONES!BQ99</f>
        <v>0</v>
      </c>
      <c r="I11" s="343">
        <f>EMISIONES!CA99</f>
        <v>0</v>
      </c>
      <c r="J11" s="344" t="e">
        <f t="shared" si="0"/>
        <v>#DIV/0!</v>
      </c>
      <c r="Q11" s="15"/>
    </row>
    <row r="12" spans="1:17">
      <c r="A12" s="11"/>
      <c r="B12" s="11"/>
      <c r="C12" s="11"/>
      <c r="D12" s="12"/>
      <c r="E12" s="11"/>
      <c r="F12" s="11"/>
      <c r="G12" s="11"/>
      <c r="H12" s="11"/>
      <c r="I12" s="11"/>
      <c r="J12" s="11"/>
    </row>
    <row r="13" spans="1:17" s="8" customFormat="1">
      <c r="A13" s="11"/>
      <c r="B13" s="11"/>
      <c r="C13" s="11"/>
      <c r="D13" s="12"/>
      <c r="E13" s="11"/>
      <c r="F13" s="11"/>
      <c r="G13" s="11"/>
      <c r="H13" s="11"/>
      <c r="I13" s="11"/>
      <c r="J13" s="11"/>
    </row>
    <row r="14" spans="1:17">
      <c r="A14" s="345" t="s">
        <v>850</v>
      </c>
      <c r="B14" s="11"/>
      <c r="C14" s="11"/>
      <c r="D14" s="12"/>
      <c r="E14" s="11"/>
      <c r="F14" s="11"/>
      <c r="G14" s="11"/>
      <c r="H14" s="11"/>
      <c r="I14" s="11"/>
      <c r="J14" s="11"/>
    </row>
    <row r="15" spans="1:17" ht="16.149999999999999" thickBot="1">
      <c r="A15" s="11"/>
      <c r="B15" s="11"/>
      <c r="C15" s="11"/>
      <c r="D15" s="12"/>
      <c r="E15" s="11"/>
      <c r="F15" s="11"/>
      <c r="G15" s="11"/>
      <c r="H15" s="11"/>
      <c r="I15" s="11"/>
      <c r="J15" s="11"/>
    </row>
    <row r="16" spans="1:17" s="8" customFormat="1" ht="33.4" thickBot="1">
      <c r="A16" s="11"/>
      <c r="B16" s="346" t="s">
        <v>851</v>
      </c>
      <c r="C16" s="340" t="s">
        <v>852</v>
      </c>
      <c r="D16" s="12"/>
      <c r="E16" s="11"/>
      <c r="F16" s="11"/>
      <c r="G16" s="11"/>
      <c r="H16" s="11"/>
      <c r="I16" s="11"/>
      <c r="J16" s="11"/>
    </row>
    <row r="17" spans="1:10" s="8" customFormat="1">
      <c r="A17" s="11"/>
      <c r="B17" s="616" t="s">
        <v>853</v>
      </c>
      <c r="C17" s="617">
        <f>+I8</f>
        <v>0</v>
      </c>
      <c r="D17" s="12"/>
      <c r="E17" s="11"/>
      <c r="F17" s="11"/>
      <c r="G17" s="11"/>
      <c r="H17" s="11"/>
      <c r="I17" s="11"/>
      <c r="J17" s="11"/>
    </row>
    <row r="18" spans="1:10" s="8" customFormat="1" ht="16.149999999999999" thickBot="1">
      <c r="A18" s="11"/>
      <c r="B18" s="618" t="s">
        <v>854</v>
      </c>
      <c r="C18" s="619">
        <f>+I10</f>
        <v>0</v>
      </c>
      <c r="D18" s="12"/>
      <c r="E18" s="11"/>
      <c r="F18" s="11"/>
      <c r="G18" s="11"/>
      <c r="H18" s="11"/>
      <c r="I18" s="11"/>
      <c r="J18" s="11"/>
    </row>
    <row r="19" spans="1:10" s="8" customFormat="1" ht="16.149999999999999" thickBot="1">
      <c r="A19" s="11"/>
      <c r="B19" s="347" t="s">
        <v>855</v>
      </c>
      <c r="C19" s="348">
        <f>SUM(C17:C18)</f>
        <v>0</v>
      </c>
      <c r="D19" s="12"/>
      <c r="E19" s="11"/>
      <c r="F19" s="11"/>
      <c r="G19" s="11"/>
      <c r="H19" s="11"/>
      <c r="I19" s="11"/>
      <c r="J19" s="11"/>
    </row>
    <row r="20" spans="1:10" s="8" customFormat="1">
      <c r="A20" s="11"/>
      <c r="B20" s="11"/>
      <c r="C20" s="11"/>
      <c r="D20" s="12"/>
      <c r="E20" s="11"/>
      <c r="F20" s="11"/>
      <c r="G20" s="11"/>
      <c r="H20" s="11"/>
      <c r="I20" s="11"/>
      <c r="J20" s="11"/>
    </row>
    <row r="21" spans="1:10" s="8" customFormat="1">
      <c r="A21" s="11"/>
      <c r="B21" s="11"/>
      <c r="C21" s="11"/>
      <c r="D21" s="12"/>
      <c r="E21" s="11"/>
      <c r="F21" s="11"/>
      <c r="G21" s="11"/>
      <c r="H21" s="11"/>
      <c r="I21" s="11"/>
      <c r="J21" s="11"/>
    </row>
    <row r="22" spans="1:10" s="8" customFormat="1">
      <c r="A22" s="345" t="s">
        <v>856</v>
      </c>
      <c r="B22" s="11"/>
      <c r="C22" s="11"/>
      <c r="D22" s="12"/>
      <c r="E22" s="11"/>
      <c r="F22" s="11"/>
      <c r="G22" s="11"/>
      <c r="H22" s="11"/>
      <c r="I22" s="11"/>
      <c r="J22" s="11"/>
    </row>
    <row r="23" spans="1:10" s="8" customFormat="1" ht="16.149999999999999" thickBot="1">
      <c r="A23" s="11"/>
      <c r="B23" s="11"/>
      <c r="C23" s="11"/>
      <c r="D23" s="12"/>
      <c r="E23" s="11"/>
      <c r="F23" s="11"/>
      <c r="G23" s="11"/>
      <c r="H23" s="11"/>
      <c r="I23" s="11"/>
      <c r="J23" s="11"/>
    </row>
    <row r="24" spans="1:10" ht="48.75" thickBot="1">
      <c r="A24" s="11"/>
      <c r="B24" s="346" t="s">
        <v>857</v>
      </c>
      <c r="C24" s="346" t="s">
        <v>858</v>
      </c>
      <c r="D24" s="346" t="s">
        <v>859</v>
      </c>
      <c r="E24" s="346" t="s">
        <v>860</v>
      </c>
      <c r="F24" s="11"/>
      <c r="G24" s="11"/>
      <c r="H24" s="11"/>
      <c r="I24" s="11"/>
      <c r="J24" s="11"/>
    </row>
    <row r="25" spans="1:10" ht="17.649999999999999">
      <c r="A25" s="11"/>
      <c r="B25" s="349" t="s">
        <v>861</v>
      </c>
      <c r="C25" s="620">
        <f>D25/EMISIONES!$CE$401</f>
        <v>0</v>
      </c>
      <c r="D25" s="620">
        <f>EMISIONES!AE90</f>
        <v>0</v>
      </c>
      <c r="E25" s="621" t="e">
        <f>D25/D31</f>
        <v>#DIV/0!</v>
      </c>
      <c r="F25" s="11"/>
      <c r="G25" s="11"/>
      <c r="H25" s="11"/>
      <c r="I25" s="11"/>
      <c r="J25" s="11"/>
    </row>
    <row r="26" spans="1:10" ht="17.649999999999999">
      <c r="A26" s="11"/>
      <c r="B26" s="349" t="s">
        <v>862</v>
      </c>
      <c r="C26" s="620">
        <f>D26/EMISIONES!$CE$402</f>
        <v>0</v>
      </c>
      <c r="D26" s="620">
        <f>EMISIONES!AM73</f>
        <v>0</v>
      </c>
      <c r="E26" s="621" t="e">
        <f>D26/D31</f>
        <v>#DIV/0!</v>
      </c>
      <c r="F26" s="11"/>
      <c r="G26" s="11"/>
      <c r="H26" s="11"/>
      <c r="I26" s="11"/>
      <c r="J26" s="11"/>
    </row>
    <row r="27" spans="1:10" ht="17.649999999999999">
      <c r="A27" s="11"/>
      <c r="B27" s="349" t="s">
        <v>863</v>
      </c>
      <c r="C27" s="620">
        <f>D27/EMISIONES!$CE$403</f>
        <v>0</v>
      </c>
      <c r="D27" s="620">
        <f>EMISIONES!AU73</f>
        <v>0</v>
      </c>
      <c r="E27" s="621" t="e">
        <f>D27/D31</f>
        <v>#DIV/0!</v>
      </c>
      <c r="F27" s="11"/>
      <c r="G27" s="11"/>
      <c r="H27" s="11"/>
      <c r="I27" s="11"/>
      <c r="J27" s="11"/>
    </row>
    <row r="28" spans="1:10">
      <c r="A28" s="11"/>
      <c r="B28" s="349" t="s">
        <v>864</v>
      </c>
      <c r="C28" s="620" t="s">
        <v>865</v>
      </c>
      <c r="D28" s="620">
        <f>EMISIONES!BB73</f>
        <v>0</v>
      </c>
      <c r="E28" s="621" t="e">
        <f>D28/D31</f>
        <v>#DIV/0!</v>
      </c>
      <c r="F28" s="11"/>
      <c r="G28" s="11"/>
      <c r="H28" s="11"/>
      <c r="I28" s="11"/>
      <c r="J28" s="11"/>
    </row>
    <row r="29" spans="1:10">
      <c r="A29" s="11"/>
      <c r="B29" s="349" t="s">
        <v>866</v>
      </c>
      <c r="C29" s="620" t="s">
        <v>865</v>
      </c>
      <c r="D29" s="620">
        <f>EMISIONES!BI73</f>
        <v>0</v>
      </c>
      <c r="E29" s="621" t="e">
        <f>D29/D31</f>
        <v>#DIV/0!</v>
      </c>
      <c r="F29" s="11"/>
      <c r="G29" s="11"/>
      <c r="H29" s="11"/>
      <c r="I29" s="11"/>
      <c r="J29" s="11"/>
    </row>
    <row r="30" spans="1:10" ht="18" thickBot="1">
      <c r="A30" s="11"/>
      <c r="B30" s="349" t="s">
        <v>867</v>
      </c>
      <c r="C30" s="620">
        <f>D30/EMISIONES!$CE$404</f>
        <v>0</v>
      </c>
      <c r="D30" s="620">
        <f>EMISIONES!BQ73</f>
        <v>0</v>
      </c>
      <c r="E30" s="621" t="e">
        <f>D30/D31</f>
        <v>#DIV/0!</v>
      </c>
      <c r="F30" s="11"/>
      <c r="G30" s="11"/>
      <c r="H30" s="11"/>
      <c r="I30" s="11"/>
      <c r="J30" s="11"/>
    </row>
    <row r="31" spans="1:10" ht="16.149999999999999" thickBot="1">
      <c r="A31" s="11"/>
      <c r="B31" s="346" t="s">
        <v>161</v>
      </c>
      <c r="C31" s="350" t="s">
        <v>865</v>
      </c>
      <c r="D31" s="351">
        <f>SUM(D25:D30)</f>
        <v>0</v>
      </c>
      <c r="E31" s="352" t="e">
        <f>SUM(E25:E30)</f>
        <v>#DIV/0!</v>
      </c>
      <c r="F31" s="11"/>
      <c r="G31" s="11"/>
      <c r="H31" s="11"/>
      <c r="I31" s="11"/>
      <c r="J31" s="11"/>
    </row>
    <row r="32" spans="1:10">
      <c r="A32" s="11"/>
      <c r="B32" s="11"/>
      <c r="C32" s="11"/>
      <c r="D32" s="12"/>
      <c r="E32" s="11"/>
      <c r="F32" s="11"/>
      <c r="G32" s="11"/>
      <c r="H32" s="11"/>
      <c r="I32" s="11"/>
      <c r="J32" s="11"/>
    </row>
    <row r="33" spans="1:10">
      <c r="A33" s="11"/>
      <c r="B33" s="11"/>
      <c r="C33" s="11"/>
      <c r="D33" s="12"/>
      <c r="E33" s="11"/>
      <c r="F33" s="11"/>
      <c r="G33" s="11"/>
      <c r="H33" s="11"/>
      <c r="I33" s="11"/>
      <c r="J33" s="11"/>
    </row>
    <row r="34" spans="1:10">
      <c r="A34" s="11"/>
      <c r="B34" s="11"/>
      <c r="C34" s="11"/>
      <c r="D34" s="12"/>
      <c r="E34" s="11"/>
      <c r="F34" s="11"/>
      <c r="G34" s="11"/>
      <c r="H34" s="11"/>
      <c r="I34" s="11"/>
      <c r="J34" s="11"/>
    </row>
    <row r="35" spans="1:10">
      <c r="A35" s="345" t="s">
        <v>868</v>
      </c>
      <c r="B35" s="11"/>
      <c r="C35" s="11"/>
      <c r="D35" s="12"/>
      <c r="E35" s="11"/>
      <c r="F35" s="11"/>
      <c r="G35" s="11"/>
      <c r="H35" s="11"/>
      <c r="I35" s="11"/>
      <c r="J35" s="11"/>
    </row>
    <row r="36" spans="1:10" ht="16.149999999999999" thickBot="1">
      <c r="A36" s="11"/>
      <c r="B36" s="11"/>
      <c r="C36" s="11"/>
      <c r="D36" s="12"/>
      <c r="E36" s="11"/>
      <c r="F36" s="11"/>
      <c r="G36" s="11"/>
      <c r="H36" s="11"/>
      <c r="I36" s="11"/>
      <c r="J36" s="11"/>
    </row>
    <row r="37" spans="1:10" ht="48.75" thickBot="1">
      <c r="A37" s="11"/>
      <c r="B37" s="346" t="s">
        <v>857</v>
      </c>
      <c r="C37" s="346" t="s">
        <v>858</v>
      </c>
      <c r="D37" s="346" t="s">
        <v>869</v>
      </c>
      <c r="E37" s="346" t="s">
        <v>844</v>
      </c>
      <c r="F37" s="11"/>
      <c r="G37" s="11"/>
      <c r="H37" s="11"/>
      <c r="I37" s="11"/>
      <c r="J37" s="11"/>
    </row>
    <row r="38" spans="1:10" ht="17.649999999999999">
      <c r="A38" s="11"/>
      <c r="B38" s="349" t="s">
        <v>861</v>
      </c>
      <c r="C38" s="620">
        <f>D38/EMISIONES!$CE$401</f>
        <v>0</v>
      </c>
      <c r="D38" s="620">
        <f>EMISIONES!AE99</f>
        <v>0</v>
      </c>
      <c r="E38" s="621" t="e">
        <f>D38/D44</f>
        <v>#DIV/0!</v>
      </c>
      <c r="F38" s="11"/>
      <c r="G38" s="11"/>
      <c r="H38" s="11"/>
      <c r="I38" s="11"/>
      <c r="J38" s="11"/>
    </row>
    <row r="39" spans="1:10" ht="17.649999999999999">
      <c r="A39" s="11"/>
      <c r="B39" s="349" t="s">
        <v>862</v>
      </c>
      <c r="C39" s="620">
        <f>D39/EMISIONES!$CE$402</f>
        <v>0</v>
      </c>
      <c r="D39" s="620">
        <f>EMISIONES!AM99</f>
        <v>0</v>
      </c>
      <c r="E39" s="621" t="e">
        <f>D39/D44</f>
        <v>#DIV/0!</v>
      </c>
      <c r="F39" s="11"/>
      <c r="G39" s="11"/>
      <c r="H39" s="11"/>
      <c r="I39" s="11"/>
      <c r="J39" s="11"/>
    </row>
    <row r="40" spans="1:10" ht="17.649999999999999">
      <c r="A40" s="11"/>
      <c r="B40" s="349" t="s">
        <v>863</v>
      </c>
      <c r="C40" s="620">
        <f>D40/EMISIONES!$CE$403</f>
        <v>0</v>
      </c>
      <c r="D40" s="620">
        <f>EMISIONES!AU99</f>
        <v>0</v>
      </c>
      <c r="E40" s="621" t="e">
        <f>D40/D44</f>
        <v>#DIV/0!</v>
      </c>
      <c r="F40" s="11"/>
      <c r="G40" s="11"/>
      <c r="H40" s="11"/>
      <c r="I40" s="11"/>
      <c r="J40" s="11"/>
    </row>
    <row r="41" spans="1:10">
      <c r="A41" s="11"/>
      <c r="B41" s="349" t="s">
        <v>864</v>
      </c>
      <c r="C41" s="620" t="s">
        <v>865</v>
      </c>
      <c r="D41" s="620">
        <f>EMISIONES!BB99</f>
        <v>0</v>
      </c>
      <c r="E41" s="621" t="e">
        <f>D41/D44</f>
        <v>#DIV/0!</v>
      </c>
      <c r="F41" s="11"/>
      <c r="G41" s="11"/>
      <c r="H41" s="11"/>
      <c r="I41" s="11"/>
      <c r="J41" s="11"/>
    </row>
    <row r="42" spans="1:10">
      <c r="A42" s="11"/>
      <c r="B42" s="349" t="s">
        <v>866</v>
      </c>
      <c r="C42" s="620" t="s">
        <v>865</v>
      </c>
      <c r="D42" s="620">
        <f>EMISIONES!BI99</f>
        <v>0</v>
      </c>
      <c r="E42" s="621" t="e">
        <f>D42/D44</f>
        <v>#DIV/0!</v>
      </c>
      <c r="F42" s="11"/>
      <c r="G42" s="11"/>
      <c r="H42" s="11"/>
      <c r="I42" s="11"/>
      <c r="J42" s="11"/>
    </row>
    <row r="43" spans="1:10" ht="18" thickBot="1">
      <c r="A43" s="11"/>
      <c r="B43" s="349" t="s">
        <v>867</v>
      </c>
      <c r="C43" s="620">
        <f>D43/EMISIONES!$CE$404</f>
        <v>0</v>
      </c>
      <c r="D43" s="620">
        <f>EMISIONES!BQ99</f>
        <v>0</v>
      </c>
      <c r="E43" s="621" t="e">
        <f>D43/D44</f>
        <v>#DIV/0!</v>
      </c>
      <c r="F43" s="11"/>
      <c r="G43" s="11"/>
      <c r="H43" s="11"/>
      <c r="I43" s="11"/>
      <c r="J43" s="11"/>
    </row>
    <row r="44" spans="1:10" ht="16.149999999999999" thickBot="1">
      <c r="A44" s="11"/>
      <c r="B44" s="346" t="s">
        <v>870</v>
      </c>
      <c r="C44" s="350" t="s">
        <v>865</v>
      </c>
      <c r="D44" s="351">
        <f>SUM(D38:D43)</f>
        <v>0</v>
      </c>
      <c r="E44" s="352" t="e">
        <f>SUM(E38:E43)</f>
        <v>#DIV/0!</v>
      </c>
      <c r="F44" s="11"/>
      <c r="G44" s="11"/>
      <c r="H44" s="11"/>
      <c r="I44" s="11"/>
      <c r="J44" s="11"/>
    </row>
    <row r="45" spans="1:10">
      <c r="A45" s="11"/>
      <c r="B45" s="11"/>
      <c r="C45" s="11"/>
      <c r="D45" s="12"/>
      <c r="E45" s="11"/>
      <c r="F45" s="11"/>
      <c r="G45" s="11"/>
      <c r="H45" s="11"/>
      <c r="I45" s="11"/>
      <c r="J45" s="11"/>
    </row>
    <row r="46" spans="1:10">
      <c r="A46" s="11"/>
      <c r="B46" s="11"/>
      <c r="C46" s="11"/>
      <c r="D46" s="12"/>
      <c r="E46" s="11"/>
      <c r="F46" s="11"/>
      <c r="G46" s="11"/>
      <c r="H46" s="11"/>
      <c r="I46" s="11"/>
      <c r="J46" s="11"/>
    </row>
    <row r="47" spans="1:10">
      <c r="A47" s="11"/>
      <c r="B47" s="11"/>
      <c r="C47" s="11"/>
      <c r="D47" s="12"/>
      <c r="E47" s="11"/>
      <c r="F47" s="11"/>
      <c r="G47" s="11"/>
      <c r="H47" s="11"/>
      <c r="I47" s="11"/>
      <c r="J47" s="11"/>
    </row>
    <row r="48" spans="1:10">
      <c r="A48" s="11"/>
      <c r="B48" s="11"/>
      <c r="C48" s="11"/>
      <c r="D48" s="12"/>
      <c r="E48" s="11"/>
      <c r="F48" s="11"/>
      <c r="G48" s="11"/>
      <c r="H48" s="11"/>
      <c r="I48" s="11"/>
      <c r="J48" s="11"/>
    </row>
    <row r="49" spans="1:12" ht="16.149999999999999" thickBot="1">
      <c r="A49" s="11"/>
      <c r="B49" s="11"/>
      <c r="C49" s="11"/>
      <c r="D49" s="12"/>
      <c r="E49" s="11"/>
      <c r="F49" s="11"/>
      <c r="G49" s="11"/>
      <c r="H49" s="11"/>
      <c r="I49" s="11"/>
      <c r="J49" s="11"/>
    </row>
    <row r="50" spans="1:12" ht="20.65">
      <c r="A50" s="345"/>
      <c r="B50" s="353" t="s">
        <v>871</v>
      </c>
      <c r="C50" s="354"/>
      <c r="D50" s="354"/>
      <c r="E50" s="355"/>
      <c r="F50" s="354"/>
      <c r="G50" s="354"/>
      <c r="H50" s="356"/>
      <c r="I50" s="357"/>
      <c r="J50" s="357"/>
      <c r="K50" s="14"/>
      <c r="L50" s="14"/>
    </row>
    <row r="51" spans="1:12">
      <c r="A51" s="345"/>
      <c r="B51" s="358"/>
      <c r="C51" s="443"/>
      <c r="D51" s="443"/>
      <c r="E51" s="444"/>
      <c r="F51" s="443"/>
      <c r="G51" s="443"/>
      <c r="H51" s="359"/>
      <c r="I51" s="357"/>
      <c r="J51" s="357"/>
      <c r="K51" s="14"/>
      <c r="L51" s="14"/>
    </row>
    <row r="52" spans="1:12" ht="20.65">
      <c r="A52" s="11"/>
      <c r="B52" s="360" t="s">
        <v>872</v>
      </c>
      <c r="C52" s="445"/>
      <c r="D52" s="445"/>
      <c r="E52" s="446"/>
      <c r="F52" s="445"/>
      <c r="G52" s="445"/>
      <c r="H52" s="361"/>
      <c r="I52" s="362"/>
      <c r="J52" s="362"/>
      <c r="K52" s="19"/>
      <c r="L52" s="19"/>
    </row>
    <row r="53" spans="1:12">
      <c r="A53" s="11"/>
      <c r="B53" s="358"/>
      <c r="C53" s="447"/>
      <c r="D53" s="447"/>
      <c r="E53" s="448"/>
      <c r="F53" s="447"/>
      <c r="G53" s="447"/>
      <c r="H53" s="363"/>
      <c r="I53" s="362"/>
      <c r="J53" s="362"/>
      <c r="K53" s="19"/>
      <c r="L53" s="19"/>
    </row>
    <row r="54" spans="1:12" ht="17.649999999999999">
      <c r="A54" s="11"/>
      <c r="B54" s="364" t="s">
        <v>873</v>
      </c>
      <c r="C54" s="447"/>
      <c r="D54" s="447"/>
      <c r="E54" s="448"/>
      <c r="F54" s="447"/>
      <c r="G54" s="447"/>
      <c r="H54" s="363"/>
      <c r="I54" s="362"/>
      <c r="J54" s="362"/>
      <c r="K54" s="19"/>
      <c r="L54" s="19"/>
    </row>
    <row r="55" spans="1:12" ht="17.649999999999999">
      <c r="A55" s="11"/>
      <c r="B55" s="364" t="s">
        <v>874</v>
      </c>
      <c r="C55" s="447"/>
      <c r="D55" s="447"/>
      <c r="E55" s="448"/>
      <c r="F55" s="447"/>
      <c r="G55" s="447"/>
      <c r="H55" s="363"/>
      <c r="I55" s="362"/>
      <c r="J55" s="362"/>
      <c r="K55" s="19"/>
      <c r="L55" s="19"/>
    </row>
    <row r="56" spans="1:12" ht="17.649999999999999">
      <c r="A56" s="11"/>
      <c r="B56" s="364"/>
      <c r="C56" s="447"/>
      <c r="D56" s="447"/>
      <c r="E56" s="448"/>
      <c r="F56" s="447"/>
      <c r="G56" s="447"/>
      <c r="H56" s="363"/>
      <c r="I56" s="362"/>
      <c r="J56" s="362"/>
      <c r="K56" s="19"/>
      <c r="L56" s="19"/>
    </row>
    <row r="57" spans="1:12">
      <c r="A57" s="11"/>
      <c r="B57" s="358"/>
      <c r="C57" s="447"/>
      <c r="D57" s="447"/>
      <c r="E57" s="448"/>
      <c r="F57" s="447"/>
      <c r="G57" s="447"/>
      <c r="H57" s="363"/>
      <c r="I57" s="362"/>
      <c r="J57" s="362"/>
      <c r="K57" s="19"/>
      <c r="L57" s="19"/>
    </row>
    <row r="58" spans="1:12" ht="17.649999999999999">
      <c r="A58" s="11"/>
      <c r="B58" s="364" t="s">
        <v>875</v>
      </c>
      <c r="C58" s="447"/>
      <c r="D58" s="447"/>
      <c r="E58" s="448"/>
      <c r="F58" s="447"/>
      <c r="G58" s="447"/>
      <c r="H58" s="363"/>
      <c r="I58" s="362"/>
      <c r="J58" s="362"/>
      <c r="K58" s="19"/>
      <c r="L58" s="19"/>
    </row>
    <row r="59" spans="1:12" ht="17.649999999999999">
      <c r="A59" s="11"/>
      <c r="B59" s="364" t="s">
        <v>876</v>
      </c>
      <c r="C59" s="447"/>
      <c r="D59" s="447"/>
      <c r="E59" s="448"/>
      <c r="F59" s="447"/>
      <c r="G59" s="447"/>
      <c r="H59" s="363"/>
      <c r="I59" s="362"/>
      <c r="J59" s="362"/>
      <c r="K59" s="19"/>
      <c r="L59" s="19"/>
    </row>
    <row r="60" spans="1:12" ht="17.649999999999999">
      <c r="A60" s="11"/>
      <c r="B60" s="364"/>
      <c r="C60" s="449"/>
      <c r="D60" s="447"/>
      <c r="E60" s="448"/>
      <c r="F60" s="447"/>
      <c r="G60" s="447"/>
      <c r="H60" s="363"/>
      <c r="I60" s="362"/>
      <c r="J60" s="362"/>
      <c r="K60" s="19"/>
      <c r="L60" s="19"/>
    </row>
    <row r="61" spans="1:12" ht="76.5" customHeight="1">
      <c r="A61" s="11"/>
      <c r="B61" s="842" t="s">
        <v>877</v>
      </c>
      <c r="C61" s="843"/>
      <c r="D61" s="843"/>
      <c r="E61" s="448"/>
      <c r="F61" s="447"/>
      <c r="G61" s="447"/>
      <c r="H61" s="363"/>
      <c r="I61" s="362"/>
      <c r="J61" s="362"/>
      <c r="K61" s="19"/>
      <c r="L61" s="19"/>
    </row>
    <row r="62" spans="1:12">
      <c r="A62" s="11"/>
      <c r="B62" s="842"/>
      <c r="C62" s="843"/>
      <c r="D62" s="843"/>
      <c r="E62" s="448"/>
      <c r="F62" s="447"/>
      <c r="G62" s="447"/>
      <c r="H62" s="363"/>
      <c r="I62" s="362"/>
      <c r="J62" s="362"/>
      <c r="K62" s="19"/>
      <c r="L62" s="19"/>
    </row>
    <row r="63" spans="1:12" ht="78.599999999999994" customHeight="1">
      <c r="A63" s="11"/>
      <c r="B63" s="842"/>
      <c r="C63" s="843"/>
      <c r="D63" s="843"/>
      <c r="E63" s="448"/>
      <c r="F63" s="447"/>
      <c r="G63" s="447"/>
      <c r="H63" s="363"/>
      <c r="I63" s="362"/>
      <c r="J63" s="362"/>
      <c r="K63" s="19"/>
      <c r="L63" s="19"/>
    </row>
    <row r="64" spans="1:12" ht="16.149999999999999" thickBot="1">
      <c r="A64" s="11"/>
      <c r="B64" s="450"/>
      <c r="C64" s="365"/>
      <c r="D64" s="365"/>
      <c r="E64" s="366"/>
      <c r="F64" s="365"/>
      <c r="G64" s="365"/>
      <c r="H64" s="367"/>
      <c r="I64" s="362"/>
      <c r="J64" s="362"/>
      <c r="K64" s="19"/>
      <c r="L64" s="19"/>
    </row>
    <row r="65" spans="1:10">
      <c r="A65" s="11"/>
      <c r="B65" s="11"/>
      <c r="C65" s="11"/>
      <c r="D65" s="12"/>
      <c r="E65" s="11"/>
      <c r="F65" s="11"/>
      <c r="G65" s="11"/>
      <c r="H65" s="11"/>
      <c r="I65" s="11"/>
      <c r="J65" s="11"/>
    </row>
    <row r="66" spans="1:10">
      <c r="A66" s="11"/>
      <c r="B66" s="11"/>
      <c r="C66" s="11"/>
      <c r="D66" s="12"/>
      <c r="E66" s="11"/>
      <c r="F66" s="11"/>
      <c r="G66" s="11"/>
      <c r="H66" s="11"/>
      <c r="I66" s="11"/>
      <c r="J66" s="11"/>
    </row>
    <row r="67" spans="1:10">
      <c r="A67" s="11"/>
      <c r="B67" s="345" t="s">
        <v>878</v>
      </c>
      <c r="C67" s="11"/>
      <c r="D67" s="12"/>
      <c r="E67" s="11"/>
      <c r="F67" s="11"/>
      <c r="G67" s="11"/>
      <c r="H67" s="11"/>
      <c r="I67" s="11"/>
      <c r="J67" s="11"/>
    </row>
    <row r="68" spans="1:10" ht="16.149999999999999" thickBot="1">
      <c r="A68" s="11"/>
      <c r="B68" s="345"/>
      <c r="C68" s="11"/>
      <c r="D68" s="12"/>
      <c r="E68" s="11"/>
      <c r="F68" s="11"/>
      <c r="G68" s="11"/>
      <c r="H68" s="11"/>
      <c r="I68" s="11"/>
      <c r="J68" s="11"/>
    </row>
    <row r="69" spans="1:10" ht="16.149999999999999" thickBot="1">
      <c r="A69" s="11"/>
      <c r="B69" s="368" t="s">
        <v>879</v>
      </c>
      <c r="C69" s="846" t="s">
        <v>880</v>
      </c>
      <c r="D69" s="846"/>
      <c r="E69" s="846"/>
      <c r="F69" s="846"/>
      <c r="G69" s="847"/>
      <c r="H69" s="848"/>
      <c r="I69" s="11"/>
      <c r="J69" s="11"/>
    </row>
    <row r="70" spans="1:10">
      <c r="A70" s="11"/>
      <c r="B70" s="622">
        <v>44290</v>
      </c>
      <c r="C70" s="832" t="s">
        <v>881</v>
      </c>
      <c r="D70" s="832"/>
      <c r="E70" s="832"/>
      <c r="F70" s="832"/>
      <c r="G70" s="832"/>
      <c r="H70" s="833"/>
      <c r="I70" s="11"/>
      <c r="J70" s="11"/>
    </row>
    <row r="71" spans="1:10">
      <c r="A71" s="11"/>
      <c r="B71" s="623"/>
      <c r="C71" s="834"/>
      <c r="D71" s="834"/>
      <c r="E71" s="834"/>
      <c r="F71" s="834"/>
      <c r="G71" s="834"/>
      <c r="H71" s="835"/>
      <c r="I71" s="11"/>
      <c r="J71" s="11"/>
    </row>
    <row r="72" spans="1:10">
      <c r="A72" s="11"/>
      <c r="B72" s="624"/>
      <c r="C72" s="834"/>
      <c r="D72" s="834"/>
      <c r="E72" s="834"/>
      <c r="F72" s="834"/>
      <c r="G72" s="834"/>
      <c r="H72" s="835"/>
      <c r="I72" s="11"/>
      <c r="J72" s="11"/>
    </row>
    <row r="73" spans="1:10">
      <c r="A73" s="11"/>
      <c r="B73" s="623"/>
      <c r="C73" s="834"/>
      <c r="D73" s="834"/>
      <c r="E73" s="834"/>
      <c r="F73" s="834"/>
      <c r="G73" s="834"/>
      <c r="H73" s="835"/>
      <c r="I73" s="11"/>
      <c r="J73" s="11"/>
    </row>
    <row r="74" spans="1:10" ht="16.149999999999999" thickBot="1">
      <c r="A74" s="11"/>
      <c r="B74" s="625"/>
      <c r="C74" s="836"/>
      <c r="D74" s="836"/>
      <c r="E74" s="836"/>
      <c r="F74" s="836"/>
      <c r="G74" s="836"/>
      <c r="H74" s="837"/>
      <c r="I74" s="11"/>
      <c r="J74" s="11"/>
    </row>
    <row r="75" spans="1:10">
      <c r="A75" s="11"/>
      <c r="B75" s="16"/>
      <c r="C75" s="11"/>
      <c r="D75" s="12"/>
      <c r="E75" s="11"/>
      <c r="F75" s="11"/>
      <c r="G75" s="11"/>
      <c r="H75" s="11"/>
      <c r="I75" s="11"/>
      <c r="J75" s="11"/>
    </row>
    <row r="76" spans="1:10">
      <c r="A76" s="11"/>
      <c r="B76" s="16"/>
      <c r="C76" s="11"/>
      <c r="D76" s="12"/>
      <c r="E76" s="11"/>
      <c r="F76" s="11"/>
      <c r="G76" s="11"/>
      <c r="H76" s="11"/>
      <c r="I76" s="11"/>
      <c r="J76" s="11"/>
    </row>
    <row r="77" spans="1:10">
      <c r="A77" s="11"/>
      <c r="B77" s="17" t="s">
        <v>882</v>
      </c>
      <c r="C77" s="13">
        <v>80123558</v>
      </c>
      <c r="D77" s="12"/>
      <c r="E77" s="11"/>
      <c r="F77" s="11"/>
      <c r="G77" s="11"/>
      <c r="H77" s="11"/>
      <c r="I77" s="11"/>
      <c r="J77" s="11"/>
    </row>
    <row r="78" spans="1:10">
      <c r="B78" s="18"/>
    </row>
    <row r="79" spans="1:10">
      <c r="B79" s="18"/>
    </row>
    <row r="80" spans="1:10">
      <c r="B80" s="18"/>
    </row>
    <row r="81" spans="2:2">
      <c r="B81" s="18"/>
    </row>
    <row r="82" spans="2:2">
      <c r="B82" s="18"/>
    </row>
    <row r="83" spans="2:2">
      <c r="B83" s="18"/>
    </row>
    <row r="84" spans="2:2">
      <c r="B84" s="18"/>
    </row>
    <row r="85" spans="2:2">
      <c r="B85" s="18"/>
    </row>
    <row r="86" spans="2:2">
      <c r="B86" s="18"/>
    </row>
    <row r="87" spans="2:2">
      <c r="B87" s="18"/>
    </row>
    <row r="88" spans="2:2">
      <c r="B88" s="18"/>
    </row>
    <row r="89" spans="2:2">
      <c r="B89" s="18"/>
    </row>
    <row r="90" spans="2:2">
      <c r="B90" s="18"/>
    </row>
    <row r="91" spans="2:2">
      <c r="B91" s="18"/>
    </row>
    <row r="92" spans="2:2">
      <c r="B92" s="18"/>
    </row>
    <row r="93" spans="2:2">
      <c r="B93" s="18"/>
    </row>
    <row r="94" spans="2:2">
      <c r="B94" s="18"/>
    </row>
    <row r="95" spans="2:2">
      <c r="B95" s="18"/>
    </row>
    <row r="96" spans="2:2">
      <c r="B96" s="18"/>
    </row>
    <row r="97" spans="2:2">
      <c r="B97" s="18"/>
    </row>
    <row r="98" spans="2:2">
      <c r="B98" s="18"/>
    </row>
    <row r="99" spans="2:2">
      <c r="B99" s="18"/>
    </row>
    <row r="100" spans="2:2">
      <c r="B100" s="18"/>
    </row>
    <row r="101" spans="2:2">
      <c r="B101" s="18"/>
    </row>
    <row r="102" spans="2:2">
      <c r="B102" s="18"/>
    </row>
    <row r="103" spans="2:2">
      <c r="B103" s="18"/>
    </row>
    <row r="104" spans="2:2">
      <c r="B104" s="18"/>
    </row>
    <row r="105" spans="2:2">
      <c r="B105" s="18"/>
    </row>
    <row r="106" spans="2:2">
      <c r="B106" s="18"/>
    </row>
    <row r="107" spans="2:2">
      <c r="B107" s="18"/>
    </row>
    <row r="108" spans="2:2">
      <c r="B108" s="18"/>
    </row>
    <row r="109" spans="2:2">
      <c r="B109" s="18"/>
    </row>
    <row r="110" spans="2:2">
      <c r="B110" s="18"/>
    </row>
    <row r="111" spans="2:2">
      <c r="B111" s="18"/>
    </row>
    <row r="112" spans="2:2">
      <c r="B112" s="18"/>
    </row>
    <row r="113" spans="2:2">
      <c r="B113" s="18"/>
    </row>
    <row r="114" spans="2:2">
      <c r="B114" s="18"/>
    </row>
    <row r="115" spans="2:2">
      <c r="B115" s="18"/>
    </row>
    <row r="116" spans="2:2">
      <c r="B116" s="18"/>
    </row>
    <row r="117" spans="2:2">
      <c r="B117" s="18"/>
    </row>
    <row r="118" spans="2:2">
      <c r="B118" s="18"/>
    </row>
    <row r="119" spans="2:2">
      <c r="B119" s="18"/>
    </row>
    <row r="120" spans="2:2">
      <c r="B120" s="18"/>
    </row>
    <row r="121" spans="2:2">
      <c r="B121" s="18"/>
    </row>
    <row r="122" spans="2:2">
      <c r="B122" s="18"/>
    </row>
    <row r="123" spans="2:2">
      <c r="B123" s="18"/>
    </row>
    <row r="124" spans="2:2">
      <c r="B124" s="18"/>
    </row>
    <row r="125" spans="2:2">
      <c r="B125" s="18"/>
    </row>
    <row r="126" spans="2:2">
      <c r="B126" s="18"/>
    </row>
    <row r="127" spans="2:2">
      <c r="B127" s="18"/>
    </row>
    <row r="128" spans="2:2">
      <c r="B128" s="18"/>
    </row>
    <row r="129" spans="2:2">
      <c r="B129" s="18"/>
    </row>
    <row r="130" spans="2:2">
      <c r="B130" s="18"/>
    </row>
    <row r="131" spans="2:2">
      <c r="B131" s="18"/>
    </row>
    <row r="132" spans="2:2">
      <c r="B132" s="18"/>
    </row>
    <row r="133" spans="2:2">
      <c r="B133" s="18"/>
    </row>
    <row r="134" spans="2:2">
      <c r="B134" s="18"/>
    </row>
    <row r="135" spans="2:2">
      <c r="B135" s="18"/>
    </row>
    <row r="136" spans="2:2">
      <c r="B136" s="18"/>
    </row>
    <row r="137" spans="2:2">
      <c r="B137" s="18"/>
    </row>
    <row r="138" spans="2:2">
      <c r="B138" s="18"/>
    </row>
    <row r="139" spans="2:2">
      <c r="B139" s="18"/>
    </row>
    <row r="140" spans="2:2">
      <c r="B140" s="18"/>
    </row>
    <row r="141" spans="2:2">
      <c r="B141" s="18"/>
    </row>
    <row r="142" spans="2:2">
      <c r="B142" s="18"/>
    </row>
    <row r="143" spans="2:2">
      <c r="B143" s="18"/>
    </row>
    <row r="144" spans="2:2">
      <c r="B144" s="18"/>
    </row>
    <row r="145" spans="2:2">
      <c r="B145" s="18"/>
    </row>
    <row r="146" spans="2:2">
      <c r="B146" s="18"/>
    </row>
    <row r="147" spans="2:2">
      <c r="B147" s="18"/>
    </row>
    <row r="148" spans="2:2">
      <c r="B148" s="18"/>
    </row>
    <row r="149" spans="2:2">
      <c r="B149" s="18"/>
    </row>
    <row r="150" spans="2:2">
      <c r="B150" s="18"/>
    </row>
    <row r="151" spans="2:2">
      <c r="B151" s="18"/>
    </row>
    <row r="152" spans="2:2">
      <c r="B152" s="18"/>
    </row>
    <row r="153" spans="2:2">
      <c r="B153" s="18"/>
    </row>
    <row r="154" spans="2:2">
      <c r="B154" s="18"/>
    </row>
    <row r="155" spans="2:2">
      <c r="B155" s="18"/>
    </row>
    <row r="156" spans="2:2">
      <c r="B156" s="18"/>
    </row>
    <row r="157" spans="2:2">
      <c r="B157" s="18"/>
    </row>
    <row r="158" spans="2:2">
      <c r="B158" s="18"/>
    </row>
    <row r="159" spans="2:2">
      <c r="B159" s="18"/>
    </row>
    <row r="160" spans="2:2">
      <c r="B160" s="18"/>
    </row>
    <row r="161" spans="2:2">
      <c r="B161" s="18"/>
    </row>
    <row r="162" spans="2:2">
      <c r="B162" s="18"/>
    </row>
    <row r="163" spans="2:2">
      <c r="B163" s="18"/>
    </row>
    <row r="164" spans="2:2">
      <c r="B164" s="18"/>
    </row>
    <row r="165" spans="2:2">
      <c r="B165" s="18"/>
    </row>
    <row r="166" spans="2:2">
      <c r="B166" s="18"/>
    </row>
    <row r="167" spans="2:2">
      <c r="B167" s="18"/>
    </row>
    <row r="168" spans="2:2">
      <c r="B168" s="18"/>
    </row>
    <row r="169" spans="2:2">
      <c r="B169" s="18"/>
    </row>
    <row r="170" spans="2:2">
      <c r="B170" s="18"/>
    </row>
    <row r="171" spans="2:2">
      <c r="B171" s="18"/>
    </row>
    <row r="172" spans="2:2">
      <c r="B172" s="18"/>
    </row>
    <row r="173" spans="2:2">
      <c r="B173" s="18"/>
    </row>
    <row r="174" spans="2:2">
      <c r="B174" s="18"/>
    </row>
    <row r="175" spans="2:2">
      <c r="B175" s="18"/>
    </row>
    <row r="176" spans="2:2">
      <c r="B176" s="18"/>
    </row>
    <row r="177" spans="2:2">
      <c r="B177" s="18"/>
    </row>
    <row r="178" spans="2:2">
      <c r="B178" s="18"/>
    </row>
    <row r="179" spans="2:2">
      <c r="B179" s="18"/>
    </row>
    <row r="180" spans="2:2">
      <c r="B180" s="18"/>
    </row>
    <row r="181" spans="2:2">
      <c r="B181" s="18"/>
    </row>
  </sheetData>
  <sheetProtection algorithmName="SHA-512" hashValue="zAQHkCWDTpJfuNfgtU/dpF071JEw6OHXmUWowbZx1Y3cuhm9FuNudRadPjS4+rpkrsEnT2w45NQERd2UbcHksQ==" saltValue="1aesPrwkFSMcjk8sVT3QSw==" spinCount="100000" sheet="1" formatCells="0" formatColumns="0" formatRows="0" insertColumns="0" insertRows="0" insertHyperlinks="0" deleteColumns="0" deleteRows="0" sort="0" autoFilter="0" pivotTables="0"/>
  <mergeCells count="10">
    <mergeCell ref="C70:H70"/>
    <mergeCell ref="C71:H71"/>
    <mergeCell ref="C72:H72"/>
    <mergeCell ref="C74:H74"/>
    <mergeCell ref="A4:A8"/>
    <mergeCell ref="A9:A10"/>
    <mergeCell ref="B61:D63"/>
    <mergeCell ref="A11:B11"/>
    <mergeCell ref="C69:H69"/>
    <mergeCell ref="C73:H73"/>
  </mergeCells>
  <pageMargins left="0.7" right="0.7" top="0.75" bottom="0.75" header="0.3" footer="0.3"/>
  <pageSetup scale="32"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04855-3C17-4435-A6DB-907E88AA506F}">
  <dimension ref="B1:M60"/>
  <sheetViews>
    <sheetView workbookViewId="0"/>
  </sheetViews>
  <sheetFormatPr baseColWidth="10" defaultColWidth="11" defaultRowHeight="14.25"/>
  <cols>
    <col min="1" max="1" width="5.46484375" customWidth="1"/>
    <col min="2" max="2" width="38.1328125" customWidth="1"/>
    <col min="3" max="3" width="70.86328125" customWidth="1"/>
    <col min="4" max="4" width="33.46484375" customWidth="1"/>
    <col min="5" max="5" width="37.46484375" customWidth="1"/>
    <col min="6" max="6" width="43" customWidth="1"/>
    <col min="7" max="7" width="42.46484375" customWidth="1"/>
    <col min="9" max="10" width="10.86328125" customWidth="1"/>
    <col min="11" max="11" width="38.73046875" customWidth="1"/>
    <col min="12" max="12" width="12.86328125" customWidth="1"/>
    <col min="13" max="13" width="11.86328125" customWidth="1"/>
  </cols>
  <sheetData>
    <row r="1" spans="2:13" ht="27" customHeight="1" thickBot="1"/>
    <row r="2" spans="2:13">
      <c r="B2" s="740" t="s">
        <v>1</v>
      </c>
      <c r="C2" s="741"/>
      <c r="D2" s="741"/>
      <c r="E2" s="741"/>
      <c r="F2" s="741"/>
      <c r="G2" s="741"/>
      <c r="H2" s="741"/>
      <c r="I2" s="741"/>
      <c r="J2" s="741"/>
      <c r="K2" s="741"/>
      <c r="L2" s="741"/>
      <c r="M2" s="742"/>
    </row>
    <row r="3" spans="2:13" ht="14.65" thickBot="1">
      <c r="B3" s="743"/>
      <c r="C3" s="744"/>
      <c r="D3" s="744"/>
      <c r="E3" s="744"/>
      <c r="F3" s="744"/>
      <c r="G3" s="744"/>
      <c r="H3" s="744"/>
      <c r="I3" s="744"/>
      <c r="J3" s="744"/>
      <c r="K3" s="744"/>
      <c r="L3" s="744"/>
      <c r="M3" s="745"/>
    </row>
    <row r="4" spans="2:13" ht="19.5" customHeight="1" thickBot="1">
      <c r="B4" s="179"/>
      <c r="C4" s="179"/>
      <c r="D4" s="179"/>
      <c r="E4" s="195"/>
      <c r="F4" s="26"/>
      <c r="G4" s="27"/>
      <c r="H4" s="27"/>
      <c r="I4" s="27"/>
      <c r="J4" s="27"/>
      <c r="K4" s="27"/>
      <c r="L4" s="27"/>
      <c r="M4" s="27"/>
    </row>
    <row r="5" spans="2:13" ht="18.75" customHeight="1" thickBot="1">
      <c r="B5" s="812" t="s">
        <v>2</v>
      </c>
      <c r="C5" s="813"/>
      <c r="D5" s="813"/>
      <c r="E5" s="813"/>
      <c r="F5" s="813"/>
      <c r="G5" s="813"/>
      <c r="H5" s="813"/>
      <c r="I5" s="813"/>
      <c r="J5" s="813"/>
      <c r="K5" s="813"/>
      <c r="L5" s="813"/>
      <c r="M5" s="814"/>
    </row>
    <row r="6" spans="2:13" ht="15" customHeight="1">
      <c r="B6" s="413" t="s">
        <v>3</v>
      </c>
      <c r="C6" s="815">
        <f>EMISIONES!C6</f>
        <v>0</v>
      </c>
      <c r="D6" s="815"/>
      <c r="E6" s="815"/>
      <c r="F6" s="414" t="s">
        <v>796</v>
      </c>
      <c r="G6" s="815">
        <f>EMISIONES!H6</f>
        <v>0</v>
      </c>
      <c r="H6" s="815"/>
      <c r="I6" s="815"/>
      <c r="J6" s="815"/>
      <c r="K6" s="815"/>
      <c r="L6" s="815"/>
      <c r="M6" s="816"/>
    </row>
    <row r="7" spans="2:13" ht="15" customHeight="1">
      <c r="B7" s="197" t="s">
        <v>5</v>
      </c>
      <c r="C7" s="817">
        <f>EMISIONES!C7</f>
        <v>0</v>
      </c>
      <c r="D7" s="817"/>
      <c r="E7" s="817"/>
      <c r="F7" s="415" t="s">
        <v>6</v>
      </c>
      <c r="G7" s="817">
        <f>EMISIONES!H7</f>
        <v>0</v>
      </c>
      <c r="H7" s="817"/>
      <c r="I7" s="817"/>
      <c r="J7" s="817"/>
      <c r="K7" s="817"/>
      <c r="L7" s="817"/>
      <c r="M7" s="818"/>
    </row>
    <row r="8" spans="2:13" ht="15" customHeight="1">
      <c r="B8" s="197" t="s">
        <v>7</v>
      </c>
      <c r="C8" s="817">
        <f>EMISIONES!C8</f>
        <v>0</v>
      </c>
      <c r="D8" s="817"/>
      <c r="E8" s="817"/>
      <c r="F8" s="415" t="s">
        <v>8</v>
      </c>
      <c r="G8" s="817">
        <f>EMISIONES!H8</f>
        <v>0</v>
      </c>
      <c r="H8" s="817"/>
      <c r="I8" s="817"/>
      <c r="J8" s="817"/>
      <c r="K8" s="817"/>
      <c r="L8" s="817"/>
      <c r="M8" s="818"/>
    </row>
    <row r="9" spans="2:13" ht="15" customHeight="1">
      <c r="B9" s="197" t="s">
        <v>9</v>
      </c>
      <c r="C9" s="817">
        <f>EMISIONES!C9</f>
        <v>0</v>
      </c>
      <c r="D9" s="817"/>
      <c r="E9" s="817"/>
      <c r="F9" s="415" t="s">
        <v>10</v>
      </c>
      <c r="G9" s="817">
        <f>EMISIONES!H9</f>
        <v>0</v>
      </c>
      <c r="H9" s="817"/>
      <c r="I9" s="817"/>
      <c r="J9" s="817"/>
      <c r="K9" s="817"/>
      <c r="L9" s="817"/>
      <c r="M9" s="818"/>
    </row>
    <row r="10" spans="2:13" ht="14.65" thickBot="1">
      <c r="B10" s="198" t="s">
        <v>11</v>
      </c>
      <c r="C10" s="819">
        <f>EMISIONES!C10</f>
        <v>0</v>
      </c>
      <c r="D10" s="819"/>
      <c r="E10" s="819"/>
      <c r="F10" s="416" t="s">
        <v>797</v>
      </c>
      <c r="G10" s="819">
        <f>EMISIONES!H10</f>
        <v>0</v>
      </c>
      <c r="H10" s="819"/>
      <c r="I10" s="819"/>
      <c r="J10" s="819"/>
      <c r="K10" s="819"/>
      <c r="L10" s="819"/>
      <c r="M10" s="820"/>
    </row>
    <row r="11" spans="2:13" ht="14.65" thickBot="1"/>
    <row r="12" spans="2:13" ht="30.4">
      <c r="B12" s="757" t="s">
        <v>798</v>
      </c>
      <c r="C12" s="758"/>
      <c r="D12" s="758"/>
      <c r="E12" s="759"/>
    </row>
    <row r="13" spans="2:13" ht="30.95" customHeight="1">
      <c r="B13" s="451" t="s">
        <v>189</v>
      </c>
      <c r="C13" s="452" t="s">
        <v>799</v>
      </c>
      <c r="D13" s="452" t="s">
        <v>800</v>
      </c>
      <c r="E13" s="469" t="s">
        <v>801</v>
      </c>
    </row>
    <row r="14" spans="2:13" ht="15.95" customHeight="1">
      <c r="B14" s="462" t="s">
        <v>802</v>
      </c>
      <c r="C14" s="463" t="s">
        <v>191</v>
      </c>
      <c r="D14" s="463" t="s">
        <v>803</v>
      </c>
      <c r="E14" s="464" t="s">
        <v>804</v>
      </c>
    </row>
    <row r="15" spans="2:13" ht="15.95" customHeight="1">
      <c r="B15" s="462" t="s">
        <v>805</v>
      </c>
      <c r="C15" s="463" t="s">
        <v>178</v>
      </c>
      <c r="D15" s="463" t="s">
        <v>803</v>
      </c>
      <c r="E15" s="464" t="s">
        <v>806</v>
      </c>
    </row>
    <row r="16" spans="2:13" ht="15.95" customHeight="1" thickBot="1">
      <c r="B16" s="465" t="s">
        <v>807</v>
      </c>
      <c r="C16" s="466" t="s">
        <v>174</v>
      </c>
      <c r="D16" s="467" t="s">
        <v>808</v>
      </c>
      <c r="E16" s="468" t="s">
        <v>809</v>
      </c>
    </row>
    <row r="17" spans="2:10">
      <c r="B17" s="54" t="s">
        <v>810</v>
      </c>
    </row>
    <row r="18" spans="2:10" ht="14.65" thickBot="1">
      <c r="B18" s="54"/>
    </row>
    <row r="19" spans="2:10" ht="30.4">
      <c r="B19" s="825" t="s">
        <v>811</v>
      </c>
      <c r="C19" s="826"/>
      <c r="D19" s="826"/>
      <c r="E19" s="826"/>
      <c r="F19" s="826"/>
      <c r="G19" s="826"/>
      <c r="H19" s="826"/>
      <c r="I19" s="826"/>
      <c r="J19" s="827"/>
    </row>
    <row r="20" spans="2:10" ht="15.4">
      <c r="B20" s="451" t="s">
        <v>187</v>
      </c>
      <c r="C20" s="452" t="s">
        <v>129</v>
      </c>
      <c r="D20" s="452" t="s">
        <v>188</v>
      </c>
      <c r="E20" s="828" t="s">
        <v>189</v>
      </c>
      <c r="F20" s="828"/>
      <c r="G20" s="828"/>
      <c r="H20" s="829" t="s">
        <v>203</v>
      </c>
      <c r="I20" s="829"/>
      <c r="J20" s="830"/>
    </row>
    <row r="21" spans="2:10" ht="15.4">
      <c r="B21" s="831" t="s">
        <v>202</v>
      </c>
      <c r="C21" s="805"/>
      <c r="D21" s="805"/>
      <c r="E21" s="453" t="s">
        <v>174</v>
      </c>
      <c r="F21" s="453" t="s">
        <v>178</v>
      </c>
      <c r="G21" s="453" t="s">
        <v>191</v>
      </c>
      <c r="H21" s="829"/>
      <c r="I21" s="829"/>
      <c r="J21" s="830"/>
    </row>
    <row r="22" spans="2:10" ht="15.4">
      <c r="B22" s="800" t="s">
        <v>293</v>
      </c>
      <c r="C22" s="802" t="s">
        <v>812</v>
      </c>
      <c r="D22" s="543" t="s">
        <v>173</v>
      </c>
      <c r="E22" s="544">
        <v>160.55000000000001</v>
      </c>
      <c r="F22" s="544">
        <v>160.55000000000001</v>
      </c>
      <c r="G22" s="544">
        <v>160.55000000000001</v>
      </c>
      <c r="H22" s="821" t="s">
        <v>295</v>
      </c>
      <c r="I22" s="821"/>
      <c r="J22" s="822"/>
    </row>
    <row r="23" spans="2:10" ht="15.4">
      <c r="B23" s="800"/>
      <c r="C23" s="802"/>
      <c r="D23" s="543" t="s">
        <v>251</v>
      </c>
      <c r="E23" s="544">
        <v>94.17</v>
      </c>
      <c r="F23" s="544">
        <v>94.17</v>
      </c>
      <c r="G23" s="544">
        <v>94.17</v>
      </c>
      <c r="H23" s="821"/>
      <c r="I23" s="821"/>
      <c r="J23" s="822"/>
    </row>
    <row r="24" spans="2:10" ht="15.4">
      <c r="B24" s="800"/>
      <c r="C24" s="802"/>
      <c r="D24" s="543" t="s">
        <v>190</v>
      </c>
      <c r="E24" s="546"/>
      <c r="F24" s="544">
        <v>75.67</v>
      </c>
      <c r="G24" s="544">
        <v>75.67</v>
      </c>
      <c r="H24" s="821"/>
      <c r="I24" s="821"/>
      <c r="J24" s="822"/>
    </row>
    <row r="25" spans="2:10" ht="15.4">
      <c r="B25" s="800"/>
      <c r="C25" s="802"/>
      <c r="D25" s="543" t="s">
        <v>226</v>
      </c>
      <c r="E25" s="544">
        <v>150</v>
      </c>
      <c r="F25" s="544">
        <v>240</v>
      </c>
      <c r="G25" s="544">
        <v>120</v>
      </c>
      <c r="H25" s="545" t="s">
        <v>304</v>
      </c>
      <c r="I25" s="547"/>
      <c r="J25" s="548"/>
    </row>
    <row r="26" spans="2:10" ht="15.4">
      <c r="B26" s="800"/>
      <c r="C26" s="802"/>
      <c r="D26" s="543" t="s">
        <v>231</v>
      </c>
      <c r="E26" s="544">
        <v>300</v>
      </c>
      <c r="F26" s="544">
        <v>270</v>
      </c>
      <c r="G26" s="544">
        <v>270</v>
      </c>
      <c r="H26" s="545" t="s">
        <v>304</v>
      </c>
      <c r="I26" s="547"/>
      <c r="J26" s="548"/>
    </row>
    <row r="27" spans="2:10" ht="15.75" thickBot="1">
      <c r="B27" s="801"/>
      <c r="C27" s="803"/>
      <c r="D27" s="549" t="s">
        <v>219</v>
      </c>
      <c r="E27" s="550">
        <v>28.72</v>
      </c>
      <c r="F27" s="550">
        <v>28.72</v>
      </c>
      <c r="G27" s="550">
        <v>28.72</v>
      </c>
      <c r="H27" s="823" t="s">
        <v>295</v>
      </c>
      <c r="I27" s="823"/>
      <c r="J27" s="824"/>
    </row>
    <row r="28" spans="2:10">
      <c r="B28" s="54" t="s">
        <v>813</v>
      </c>
      <c r="C28" s="457"/>
      <c r="D28" s="458"/>
      <c r="E28" s="459"/>
      <c r="F28" s="459"/>
      <c r="G28" s="459"/>
      <c r="H28" s="460"/>
      <c r="I28" s="460"/>
      <c r="J28" s="460"/>
    </row>
    <row r="29" spans="2:10" ht="14.65" thickBot="1">
      <c r="H29" s="54"/>
      <c r="I29" s="54"/>
      <c r="J29" s="54"/>
    </row>
    <row r="30" spans="2:10" ht="61.5" customHeight="1">
      <c r="B30" s="797" t="s">
        <v>814</v>
      </c>
      <c r="C30" s="799"/>
    </row>
    <row r="31" spans="2:10" ht="15.75" thickBot="1">
      <c r="B31" s="455" t="s">
        <v>815</v>
      </c>
      <c r="C31" s="456" t="s">
        <v>188</v>
      </c>
    </row>
    <row r="32" spans="2:10" ht="15.4">
      <c r="B32" s="810" t="s">
        <v>816</v>
      </c>
      <c r="C32" s="551" t="s">
        <v>173</v>
      </c>
    </row>
    <row r="33" spans="2:5" ht="15.4">
      <c r="B33" s="800"/>
      <c r="C33" s="552" t="s">
        <v>177</v>
      </c>
    </row>
    <row r="34" spans="2:5" ht="15.4">
      <c r="B34" s="800"/>
      <c r="C34" s="552" t="s">
        <v>190</v>
      </c>
    </row>
    <row r="35" spans="2:5" ht="15.4">
      <c r="B35" s="800"/>
      <c r="C35" s="552" t="s">
        <v>226</v>
      </c>
    </row>
    <row r="36" spans="2:5" ht="15.4">
      <c r="B36" s="800"/>
      <c r="C36" s="552" t="s">
        <v>231</v>
      </c>
    </row>
    <row r="37" spans="2:5" ht="15.75" thickBot="1">
      <c r="B37" s="801"/>
      <c r="C37" s="553" t="s">
        <v>219</v>
      </c>
    </row>
    <row r="38" spans="2:5" ht="15.4">
      <c r="B38" s="808" t="s">
        <v>817</v>
      </c>
      <c r="C38" s="551" t="s">
        <v>228</v>
      </c>
    </row>
    <row r="39" spans="2:5" ht="15.4">
      <c r="B39" s="811"/>
      <c r="C39" s="552" t="s">
        <v>223</v>
      </c>
    </row>
    <row r="40" spans="2:5" ht="15.75" thickBot="1">
      <c r="B40" s="809"/>
      <c r="C40" s="553" t="s">
        <v>232</v>
      </c>
    </row>
    <row r="41" spans="2:5" ht="15.4">
      <c r="B41" s="808" t="s">
        <v>147</v>
      </c>
      <c r="C41" s="551" t="s">
        <v>223</v>
      </c>
    </row>
    <row r="42" spans="2:5" ht="15.75" thickBot="1">
      <c r="B42" s="809"/>
      <c r="C42" s="553" t="s">
        <v>147</v>
      </c>
    </row>
    <row r="43" spans="2:5" ht="15.75" thickBot="1">
      <c r="B43" s="554" t="s">
        <v>148</v>
      </c>
      <c r="C43" s="555" t="s">
        <v>223</v>
      </c>
    </row>
    <row r="44" spans="2:5">
      <c r="B44" s="54" t="s">
        <v>818</v>
      </c>
    </row>
    <row r="45" spans="2:5" ht="14.65" thickBot="1">
      <c r="C45" s="54"/>
    </row>
    <row r="46" spans="2:5" ht="65.45" customHeight="1">
      <c r="B46" s="797" t="s">
        <v>819</v>
      </c>
      <c r="C46" s="798"/>
      <c r="D46" s="799"/>
    </row>
    <row r="47" spans="2:5" ht="17.649999999999999">
      <c r="B47" s="804" t="s">
        <v>820</v>
      </c>
      <c r="C47" s="849" t="s">
        <v>883</v>
      </c>
      <c r="D47" s="850"/>
    </row>
    <row r="48" spans="2:5" ht="15.4">
      <c r="B48" s="804"/>
      <c r="C48" s="452" t="s">
        <v>822</v>
      </c>
      <c r="D48" s="469" t="s">
        <v>823</v>
      </c>
    </row>
    <row r="49" spans="2:4" ht="15.4">
      <c r="B49" s="561" t="s">
        <v>824</v>
      </c>
      <c r="C49" s="556">
        <v>10</v>
      </c>
      <c r="D49" s="557">
        <v>4.4400000000000004</v>
      </c>
    </row>
    <row r="50" spans="2:4" ht="15.4">
      <c r="B50" s="561" t="s">
        <v>825</v>
      </c>
      <c r="C50" s="556">
        <v>4.4400000000000004</v>
      </c>
      <c r="D50" s="557">
        <v>1.94</v>
      </c>
    </row>
    <row r="51" spans="2:4" ht="15.4">
      <c r="B51" s="561" t="s">
        <v>826</v>
      </c>
      <c r="C51" s="556">
        <v>3.11</v>
      </c>
      <c r="D51" s="557">
        <v>1.39</v>
      </c>
    </row>
    <row r="52" spans="2:4" ht="15.4">
      <c r="B52" s="561" t="s">
        <v>827</v>
      </c>
      <c r="C52" s="556">
        <v>2.2799999999999998</v>
      </c>
      <c r="D52" s="557">
        <v>1.1100000000000001</v>
      </c>
    </row>
    <row r="53" spans="2:4" ht="15.4">
      <c r="B53" s="561" t="s">
        <v>828</v>
      </c>
      <c r="C53" s="556">
        <v>1.89</v>
      </c>
      <c r="D53" s="557">
        <v>0.89</v>
      </c>
    </row>
    <row r="54" spans="2:4" ht="15.4">
      <c r="B54" s="561" t="s">
        <v>829</v>
      </c>
      <c r="C54" s="556">
        <v>1.67</v>
      </c>
      <c r="D54" s="557">
        <v>0.84</v>
      </c>
    </row>
    <row r="55" spans="2:4" ht="15.4">
      <c r="B55" s="561" t="s">
        <v>830</v>
      </c>
      <c r="C55" s="556">
        <v>1.44</v>
      </c>
      <c r="D55" s="557">
        <v>0.77</v>
      </c>
    </row>
    <row r="56" spans="2:4" ht="15.75" thickBot="1">
      <c r="B56" s="558" t="s">
        <v>831</v>
      </c>
      <c r="C56" s="559">
        <v>1.05</v>
      </c>
      <c r="D56" s="560">
        <v>0.77</v>
      </c>
    </row>
    <row r="57" spans="2:4" ht="15.4">
      <c r="B57" s="54" t="s">
        <v>818</v>
      </c>
      <c r="C57" s="542"/>
      <c r="D57" s="542"/>
    </row>
    <row r="58" spans="2:4" ht="15.4">
      <c r="B58" s="807" t="s">
        <v>832</v>
      </c>
      <c r="C58" s="807"/>
      <c r="D58" s="807"/>
    </row>
    <row r="59" spans="2:4" ht="30.6" customHeight="1">
      <c r="B59" s="795" t="s">
        <v>833</v>
      </c>
      <c r="C59" s="795"/>
      <c r="D59" s="795"/>
    </row>
    <row r="60" spans="2:4" ht="79.5" customHeight="1">
      <c r="B60" s="796" t="s">
        <v>884</v>
      </c>
      <c r="C60" s="796"/>
      <c r="D60" s="796"/>
    </row>
  </sheetData>
  <mergeCells count="31">
    <mergeCell ref="B2:M3"/>
    <mergeCell ref="B5:M5"/>
    <mergeCell ref="C6:E6"/>
    <mergeCell ref="G6:M6"/>
    <mergeCell ref="C7:E7"/>
    <mergeCell ref="G7:M7"/>
    <mergeCell ref="B22:B27"/>
    <mergeCell ref="C22:C27"/>
    <mergeCell ref="H22:J24"/>
    <mergeCell ref="H27:J27"/>
    <mergeCell ref="C8:E8"/>
    <mergeCell ref="G8:M8"/>
    <mergeCell ref="C9:E9"/>
    <mergeCell ref="G9:M9"/>
    <mergeCell ref="C10:E10"/>
    <mergeCell ref="G10:M10"/>
    <mergeCell ref="B12:E12"/>
    <mergeCell ref="B19:J19"/>
    <mergeCell ref="E20:G20"/>
    <mergeCell ref="H20:J21"/>
    <mergeCell ref="B21:D21"/>
    <mergeCell ref="B58:D58"/>
    <mergeCell ref="B59:D59"/>
    <mergeCell ref="B60:D60"/>
    <mergeCell ref="B30:C30"/>
    <mergeCell ref="B32:B37"/>
    <mergeCell ref="B38:B40"/>
    <mergeCell ref="B41:B42"/>
    <mergeCell ref="B46:D46"/>
    <mergeCell ref="B47:B48"/>
    <mergeCell ref="C47:D47"/>
  </mergeCells>
  <pageMargins left="0.7" right="0.7" top="0.75" bottom="0.75" header="0.3" footer="0.3"/>
  <pageSetup orientation="portrait"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35"/>
  <sheetViews>
    <sheetView workbookViewId="0"/>
  </sheetViews>
  <sheetFormatPr baseColWidth="10" defaultColWidth="11.46484375" defaultRowHeight="14.25"/>
  <cols>
    <col min="1" max="1" width="60.265625" customWidth="1"/>
    <col min="2" max="2" width="13" customWidth="1"/>
    <col min="3" max="3" width="15.46484375" customWidth="1"/>
    <col min="5" max="5" width="11.46484375" customWidth="1"/>
    <col min="7" max="7" width="14.46484375" customWidth="1"/>
  </cols>
  <sheetData>
    <row r="1" spans="1:13" ht="26.25" customHeight="1">
      <c r="A1" s="1" t="s">
        <v>885</v>
      </c>
      <c r="B1" s="851" t="s">
        <v>886</v>
      </c>
      <c r="C1" s="851"/>
      <c r="D1" s="851"/>
      <c r="E1" s="851" t="s">
        <v>887</v>
      </c>
      <c r="F1" s="851"/>
      <c r="G1" s="851"/>
      <c r="H1" s="851"/>
      <c r="I1" s="851"/>
      <c r="J1" s="851"/>
      <c r="K1" s="851"/>
      <c r="M1" s="5"/>
    </row>
    <row r="2" spans="1:13" ht="26.25" customHeight="1">
      <c r="A2" s="1"/>
      <c r="B2" s="1"/>
      <c r="C2" s="1"/>
      <c r="D2" s="1"/>
      <c r="G2" s="2" t="s">
        <v>888</v>
      </c>
      <c r="I2" s="2" t="s">
        <v>889</v>
      </c>
      <c r="L2" s="5"/>
      <c r="M2" s="5"/>
    </row>
    <row r="3" spans="1:13" ht="33" customHeight="1">
      <c r="A3" s="2" t="s">
        <v>651</v>
      </c>
      <c r="B3" s="852" t="s">
        <v>890</v>
      </c>
      <c r="C3" s="852" t="s">
        <v>891</v>
      </c>
      <c r="D3" s="852"/>
      <c r="E3" s="853" t="s">
        <v>654</v>
      </c>
      <c r="F3" s="852" t="s">
        <v>655</v>
      </c>
      <c r="G3" s="852" t="s">
        <v>656</v>
      </c>
      <c r="H3" s="852" t="s">
        <v>892</v>
      </c>
      <c r="I3" s="852" t="s">
        <v>893</v>
      </c>
      <c r="J3" s="852" t="s">
        <v>891</v>
      </c>
      <c r="K3" s="852"/>
      <c r="L3" s="852" t="s">
        <v>894</v>
      </c>
      <c r="M3" s="852"/>
    </row>
    <row r="4" spans="1:13">
      <c r="A4" s="2"/>
      <c r="B4" s="852"/>
      <c r="C4" s="3">
        <v>1995</v>
      </c>
      <c r="D4" s="2">
        <v>2007</v>
      </c>
      <c r="E4" s="853"/>
      <c r="F4" s="852"/>
      <c r="G4" s="852"/>
      <c r="H4" s="852"/>
      <c r="I4" s="852"/>
      <c r="J4" s="2">
        <v>1995</v>
      </c>
      <c r="K4" s="2">
        <v>2007</v>
      </c>
      <c r="L4" s="2">
        <v>1995</v>
      </c>
      <c r="M4" s="2">
        <v>2007</v>
      </c>
    </row>
    <row r="5" spans="1:13">
      <c r="A5" s="2">
        <v>0</v>
      </c>
      <c r="B5" s="3">
        <v>0</v>
      </c>
      <c r="C5" s="3">
        <v>0</v>
      </c>
      <c r="D5" s="2">
        <v>0</v>
      </c>
      <c r="E5" s="2">
        <v>0</v>
      </c>
      <c r="F5" s="3">
        <v>0</v>
      </c>
      <c r="G5" s="3">
        <v>0</v>
      </c>
      <c r="H5" s="3">
        <v>0</v>
      </c>
      <c r="I5" s="3">
        <v>0</v>
      </c>
      <c r="J5" s="2">
        <v>0</v>
      </c>
      <c r="K5" s="2">
        <v>0</v>
      </c>
      <c r="L5" s="2">
        <v>0</v>
      </c>
      <c r="M5" s="2">
        <v>0</v>
      </c>
    </row>
    <row r="6" spans="1:13">
      <c r="A6" t="s">
        <v>690</v>
      </c>
      <c r="B6">
        <v>1</v>
      </c>
      <c r="C6" s="4">
        <f>+B6*21</f>
        <v>21</v>
      </c>
      <c r="D6" s="4">
        <f>+B6*25</f>
        <v>25</v>
      </c>
      <c r="E6">
        <v>40</v>
      </c>
      <c r="F6">
        <v>0.99</v>
      </c>
      <c r="G6" s="4">
        <f>+E6*F6</f>
        <v>39.6</v>
      </c>
      <c r="H6">
        <v>0.02</v>
      </c>
      <c r="I6" s="6">
        <f>+G6*H6*44/28</f>
        <v>1.2445714285714284</v>
      </c>
      <c r="J6" s="6">
        <f>+I6*310</f>
        <v>385.81714285714281</v>
      </c>
      <c r="K6" s="6">
        <f>+I6*298</f>
        <v>370.88228571428567</v>
      </c>
      <c r="L6" s="7">
        <f>+C6+J6</f>
        <v>406.81714285714281</v>
      </c>
      <c r="M6" s="7">
        <f>+D6+K6</f>
        <v>395.88228571428567</v>
      </c>
    </row>
    <row r="7" spans="1:13">
      <c r="A7" t="s">
        <v>692</v>
      </c>
      <c r="B7">
        <v>1</v>
      </c>
      <c r="C7" s="4">
        <f t="shared" ref="C7:C35" si="0">+B7*21</f>
        <v>21</v>
      </c>
      <c r="D7" s="4">
        <f t="shared" ref="D7:D35" si="1">+B7*25</f>
        <v>25</v>
      </c>
      <c r="E7">
        <v>40</v>
      </c>
      <c r="F7">
        <v>0.99</v>
      </c>
      <c r="G7" s="4">
        <f t="shared" ref="G7:G35" si="2">+E7*F7</f>
        <v>39.6</v>
      </c>
      <c r="H7">
        <v>0.02</v>
      </c>
      <c r="I7" s="6">
        <f t="shared" ref="I7:I35" si="3">+G7*H7*44/28</f>
        <v>1.2445714285714284</v>
      </c>
      <c r="J7" s="6">
        <f t="shared" ref="J7:J35" si="4">+I7*310</f>
        <v>385.81714285714281</v>
      </c>
      <c r="K7" s="6">
        <f t="shared" ref="K7:K35" si="5">+I7*298</f>
        <v>370.88228571428567</v>
      </c>
      <c r="L7" s="7">
        <f t="shared" ref="L7:L35" si="6">+C7+J7</f>
        <v>406.81714285714281</v>
      </c>
      <c r="M7" s="7">
        <f t="shared" ref="M7:M35" si="7">+D7+K7</f>
        <v>395.88228571428567</v>
      </c>
    </row>
    <row r="8" spans="1:13">
      <c r="A8" t="s">
        <v>695</v>
      </c>
      <c r="B8">
        <v>1</v>
      </c>
      <c r="C8" s="4">
        <f t="shared" si="0"/>
        <v>21</v>
      </c>
      <c r="D8" s="4">
        <f t="shared" si="1"/>
        <v>25</v>
      </c>
      <c r="E8">
        <v>40</v>
      </c>
      <c r="F8">
        <v>0.99</v>
      </c>
      <c r="G8" s="4">
        <f t="shared" si="2"/>
        <v>39.6</v>
      </c>
      <c r="H8">
        <v>0.02</v>
      </c>
      <c r="I8" s="6">
        <f t="shared" si="3"/>
        <v>1.2445714285714284</v>
      </c>
      <c r="J8" s="6">
        <f t="shared" si="4"/>
        <v>385.81714285714281</v>
      </c>
      <c r="K8" s="6">
        <f t="shared" si="5"/>
        <v>370.88228571428567</v>
      </c>
      <c r="L8" s="7">
        <f t="shared" si="6"/>
        <v>406.81714285714281</v>
      </c>
      <c r="M8" s="7">
        <f t="shared" si="7"/>
        <v>395.88228571428567</v>
      </c>
    </row>
    <row r="9" spans="1:13">
      <c r="A9" t="s">
        <v>687</v>
      </c>
      <c r="B9">
        <v>0</v>
      </c>
      <c r="C9" s="4">
        <f t="shared" si="0"/>
        <v>0</v>
      </c>
      <c r="D9" s="4">
        <f t="shared" si="1"/>
        <v>0</v>
      </c>
      <c r="E9">
        <v>70</v>
      </c>
      <c r="F9">
        <v>0.36</v>
      </c>
      <c r="G9" s="4">
        <f t="shared" si="2"/>
        <v>25.2</v>
      </c>
      <c r="H9">
        <v>0.02</v>
      </c>
      <c r="I9" s="6">
        <f t="shared" si="3"/>
        <v>0.79200000000000004</v>
      </c>
      <c r="J9" s="6">
        <f t="shared" si="4"/>
        <v>245.52</v>
      </c>
      <c r="K9" s="6">
        <f t="shared" si="5"/>
        <v>236.01600000000002</v>
      </c>
      <c r="L9" s="7">
        <f t="shared" si="6"/>
        <v>245.52</v>
      </c>
      <c r="M9" s="7">
        <f t="shared" si="7"/>
        <v>236.01600000000002</v>
      </c>
    </row>
    <row r="10" spans="1:13">
      <c r="A10" t="s">
        <v>691</v>
      </c>
      <c r="B10">
        <v>1</v>
      </c>
      <c r="C10" s="4">
        <f t="shared" si="0"/>
        <v>21</v>
      </c>
      <c r="D10" s="4">
        <f t="shared" si="1"/>
        <v>25</v>
      </c>
      <c r="E10">
        <v>70</v>
      </c>
      <c r="F10">
        <v>0.36</v>
      </c>
      <c r="G10" s="4">
        <f t="shared" si="2"/>
        <v>25.2</v>
      </c>
      <c r="H10">
        <v>0.02</v>
      </c>
      <c r="I10" s="6">
        <f t="shared" si="3"/>
        <v>0.79200000000000004</v>
      </c>
      <c r="J10" s="6">
        <f t="shared" si="4"/>
        <v>245.52</v>
      </c>
      <c r="K10" s="6">
        <f t="shared" si="5"/>
        <v>236.01600000000002</v>
      </c>
      <c r="L10" s="7">
        <f t="shared" si="6"/>
        <v>266.52</v>
      </c>
      <c r="M10" s="7">
        <f t="shared" si="7"/>
        <v>261.01600000000002</v>
      </c>
    </row>
    <row r="11" spans="1:13">
      <c r="A11" t="s">
        <v>694</v>
      </c>
      <c r="B11">
        <v>2</v>
      </c>
      <c r="C11" s="4">
        <f t="shared" si="0"/>
        <v>42</v>
      </c>
      <c r="D11" s="4">
        <f t="shared" si="1"/>
        <v>50</v>
      </c>
      <c r="E11">
        <v>70</v>
      </c>
      <c r="F11">
        <v>0.36</v>
      </c>
      <c r="G11" s="4">
        <f t="shared" si="2"/>
        <v>25.2</v>
      </c>
      <c r="H11">
        <v>0.02</v>
      </c>
      <c r="I11" s="6">
        <f t="shared" si="3"/>
        <v>0.79200000000000004</v>
      </c>
      <c r="J11" s="6">
        <f t="shared" si="4"/>
        <v>245.52</v>
      </c>
      <c r="K11" s="6">
        <f t="shared" si="5"/>
        <v>236.01600000000002</v>
      </c>
      <c r="L11" s="7">
        <f t="shared" si="6"/>
        <v>287.52</v>
      </c>
      <c r="M11" s="7">
        <f t="shared" si="7"/>
        <v>286.01600000000002</v>
      </c>
    </row>
    <row r="12" spans="1:13">
      <c r="A12" t="s">
        <v>696</v>
      </c>
      <c r="B12">
        <v>1.2E-2</v>
      </c>
      <c r="C12" s="4">
        <f t="shared" si="0"/>
        <v>0.252</v>
      </c>
      <c r="D12" s="4">
        <f t="shared" si="1"/>
        <v>0.3</v>
      </c>
      <c r="E12">
        <v>0.6</v>
      </c>
      <c r="F12">
        <v>0.42</v>
      </c>
      <c r="G12" s="4">
        <f t="shared" si="2"/>
        <v>0.252</v>
      </c>
      <c r="H12">
        <v>0.02</v>
      </c>
      <c r="I12" s="6">
        <f t="shared" si="3"/>
        <v>7.92E-3</v>
      </c>
      <c r="J12" s="6">
        <f t="shared" si="4"/>
        <v>2.4552</v>
      </c>
      <c r="K12" s="6">
        <f t="shared" si="5"/>
        <v>2.36016</v>
      </c>
      <c r="L12" s="7">
        <f t="shared" si="6"/>
        <v>2.7072000000000003</v>
      </c>
      <c r="M12" s="7">
        <f t="shared" si="7"/>
        <v>2.6601599999999999</v>
      </c>
    </row>
    <row r="13" spans="1:13">
      <c r="A13" t="s">
        <v>698</v>
      </c>
      <c r="B13">
        <v>1.7999999999999999E-2</v>
      </c>
      <c r="C13" s="4">
        <f t="shared" si="0"/>
        <v>0.37799999999999995</v>
      </c>
      <c r="D13" s="4">
        <f t="shared" si="1"/>
        <v>0.44999999999999996</v>
      </c>
      <c r="E13">
        <v>0.6</v>
      </c>
      <c r="F13">
        <v>0.42</v>
      </c>
      <c r="G13" s="4">
        <f t="shared" si="2"/>
        <v>0.252</v>
      </c>
      <c r="H13">
        <v>0.02</v>
      </c>
      <c r="I13" s="6">
        <f t="shared" si="3"/>
        <v>7.92E-3</v>
      </c>
      <c r="J13" s="6">
        <f t="shared" si="4"/>
        <v>2.4552</v>
      </c>
      <c r="K13" s="6">
        <f t="shared" si="5"/>
        <v>2.36016</v>
      </c>
      <c r="L13" s="7">
        <f t="shared" si="6"/>
        <v>2.8332000000000002</v>
      </c>
      <c r="M13" s="7">
        <f t="shared" si="7"/>
        <v>2.8101599999999998</v>
      </c>
    </row>
    <row r="14" spans="1:13">
      <c r="A14" t="s">
        <v>700</v>
      </c>
      <c r="B14">
        <v>2.3E-2</v>
      </c>
      <c r="C14" s="4">
        <f t="shared" si="0"/>
        <v>0.48299999999999998</v>
      </c>
      <c r="D14" s="4">
        <f t="shared" si="1"/>
        <v>0.57499999999999996</v>
      </c>
      <c r="E14">
        <v>0.6</v>
      </c>
      <c r="F14">
        <v>0.42</v>
      </c>
      <c r="G14" s="4">
        <f t="shared" si="2"/>
        <v>0.252</v>
      </c>
      <c r="H14">
        <v>0.02</v>
      </c>
      <c r="I14" s="6">
        <f t="shared" si="3"/>
        <v>7.92E-3</v>
      </c>
      <c r="J14" s="6">
        <f t="shared" si="4"/>
        <v>2.4552</v>
      </c>
      <c r="K14" s="6">
        <f t="shared" si="5"/>
        <v>2.36016</v>
      </c>
      <c r="L14" s="7">
        <f t="shared" si="6"/>
        <v>2.9382000000000001</v>
      </c>
      <c r="M14" s="7">
        <f t="shared" si="7"/>
        <v>2.9351599999999998</v>
      </c>
    </row>
    <row r="15" spans="1:13">
      <c r="A15" t="s">
        <v>701</v>
      </c>
      <c r="B15">
        <v>0.1</v>
      </c>
      <c r="C15" s="4">
        <f t="shared" si="0"/>
        <v>2.1</v>
      </c>
      <c r="D15" s="4">
        <f t="shared" si="1"/>
        <v>2.5</v>
      </c>
      <c r="E15">
        <v>12</v>
      </c>
      <c r="F15">
        <v>1</v>
      </c>
      <c r="G15" s="4">
        <f t="shared" si="2"/>
        <v>12</v>
      </c>
      <c r="H15">
        <v>0.02</v>
      </c>
      <c r="I15" s="6">
        <f t="shared" si="3"/>
        <v>0.37714285714285711</v>
      </c>
      <c r="J15" s="6">
        <f t="shared" si="4"/>
        <v>116.91428571428571</v>
      </c>
      <c r="K15" s="6">
        <f t="shared" si="5"/>
        <v>112.38857142857142</v>
      </c>
      <c r="L15" s="7">
        <f t="shared" si="6"/>
        <v>119.01428571428571</v>
      </c>
      <c r="M15" s="7">
        <f t="shared" si="7"/>
        <v>114.88857142857142</v>
      </c>
    </row>
    <row r="16" spans="1:13">
      <c r="A16" t="s">
        <v>895</v>
      </c>
      <c r="B16">
        <v>0.16</v>
      </c>
      <c r="C16" s="4">
        <f t="shared" si="0"/>
        <v>3.36</v>
      </c>
      <c r="D16" s="4">
        <f t="shared" si="1"/>
        <v>4</v>
      </c>
      <c r="E16">
        <v>12</v>
      </c>
      <c r="F16">
        <v>1</v>
      </c>
      <c r="G16" s="4">
        <f t="shared" si="2"/>
        <v>12</v>
      </c>
      <c r="H16">
        <v>0.02</v>
      </c>
      <c r="I16" s="6">
        <f t="shared" si="3"/>
        <v>0.37714285714285711</v>
      </c>
      <c r="J16" s="6">
        <f t="shared" si="4"/>
        <v>116.91428571428571</v>
      </c>
      <c r="K16" s="6">
        <f t="shared" si="5"/>
        <v>112.38857142857142</v>
      </c>
      <c r="L16" s="7">
        <f t="shared" si="6"/>
        <v>120.27428571428571</v>
      </c>
      <c r="M16" s="7">
        <f t="shared" si="7"/>
        <v>116.38857142857142</v>
      </c>
    </row>
    <row r="17" spans="1:13">
      <c r="A17" t="s">
        <v>703</v>
      </c>
      <c r="B17">
        <v>0.21</v>
      </c>
      <c r="C17" s="4">
        <f t="shared" si="0"/>
        <v>4.41</v>
      </c>
      <c r="D17" s="4">
        <f t="shared" si="1"/>
        <v>5.25</v>
      </c>
      <c r="E17">
        <v>12</v>
      </c>
      <c r="F17">
        <v>1</v>
      </c>
      <c r="G17" s="4">
        <f t="shared" si="2"/>
        <v>12</v>
      </c>
      <c r="H17">
        <v>0.02</v>
      </c>
      <c r="I17" s="6">
        <f t="shared" si="3"/>
        <v>0.37714285714285711</v>
      </c>
      <c r="J17" s="6">
        <f t="shared" si="4"/>
        <v>116.91428571428571</v>
      </c>
      <c r="K17" s="6">
        <f t="shared" si="5"/>
        <v>112.38857142857142</v>
      </c>
      <c r="L17" s="7">
        <f t="shared" si="6"/>
        <v>121.32428571428571</v>
      </c>
      <c r="M17" s="7">
        <f t="shared" si="7"/>
        <v>117.63857142857142</v>
      </c>
    </row>
    <row r="18" spans="1:13">
      <c r="A18" t="s">
        <v>705</v>
      </c>
      <c r="B18">
        <v>0</v>
      </c>
      <c r="C18" s="4">
        <f t="shared" si="0"/>
        <v>0</v>
      </c>
      <c r="D18" s="4">
        <f t="shared" si="1"/>
        <v>0</v>
      </c>
      <c r="E18">
        <v>16</v>
      </c>
      <c r="F18">
        <v>0.51</v>
      </c>
      <c r="G18" s="4">
        <f t="shared" si="2"/>
        <v>8.16</v>
      </c>
      <c r="H18">
        <v>0.02</v>
      </c>
      <c r="I18" s="6">
        <f t="shared" si="3"/>
        <v>0.25645714285714288</v>
      </c>
      <c r="J18" s="6">
        <f t="shared" si="4"/>
        <v>79.5017142857143</v>
      </c>
      <c r="K18" s="6">
        <f t="shared" si="5"/>
        <v>76.424228571428586</v>
      </c>
      <c r="L18" s="7">
        <f t="shared" si="6"/>
        <v>79.5017142857143</v>
      </c>
      <c r="M18" s="7">
        <f t="shared" si="7"/>
        <v>76.424228571428586</v>
      </c>
    </row>
    <row r="19" spans="1:13">
      <c r="A19" t="s">
        <v>896</v>
      </c>
      <c r="B19">
        <v>1</v>
      </c>
      <c r="C19" s="4">
        <f t="shared" si="0"/>
        <v>21</v>
      </c>
      <c r="D19" s="4">
        <f t="shared" si="1"/>
        <v>25</v>
      </c>
      <c r="E19">
        <v>16</v>
      </c>
      <c r="F19">
        <v>0.51</v>
      </c>
      <c r="G19" s="4">
        <f t="shared" si="2"/>
        <v>8.16</v>
      </c>
      <c r="H19">
        <v>0.02</v>
      </c>
      <c r="I19" s="6">
        <f t="shared" si="3"/>
        <v>0.25645714285714288</v>
      </c>
      <c r="J19" s="6">
        <f t="shared" si="4"/>
        <v>79.5017142857143</v>
      </c>
      <c r="K19" s="6">
        <f t="shared" si="5"/>
        <v>76.424228571428586</v>
      </c>
      <c r="L19" s="7">
        <f t="shared" si="6"/>
        <v>100.5017142857143</v>
      </c>
      <c r="M19" s="7">
        <f t="shared" si="7"/>
        <v>101.42422857142859</v>
      </c>
    </row>
    <row r="20" spans="1:13">
      <c r="A20" t="s">
        <v>709</v>
      </c>
      <c r="B20">
        <v>2</v>
      </c>
      <c r="C20" s="4">
        <f t="shared" si="0"/>
        <v>42</v>
      </c>
      <c r="D20" s="4">
        <f t="shared" si="1"/>
        <v>50</v>
      </c>
      <c r="E20">
        <v>16</v>
      </c>
      <c r="F20">
        <v>0.51</v>
      </c>
      <c r="G20" s="4">
        <f t="shared" si="2"/>
        <v>8.16</v>
      </c>
      <c r="H20">
        <v>0.02</v>
      </c>
      <c r="I20" s="6">
        <f t="shared" si="3"/>
        <v>0.25645714285714288</v>
      </c>
      <c r="J20" s="6">
        <f t="shared" si="4"/>
        <v>79.5017142857143</v>
      </c>
      <c r="K20" s="6">
        <f t="shared" si="5"/>
        <v>76.424228571428586</v>
      </c>
      <c r="L20" s="7">
        <f t="shared" si="6"/>
        <v>121.5017142857143</v>
      </c>
      <c r="M20" s="7">
        <f t="shared" si="7"/>
        <v>126.42422857142859</v>
      </c>
    </row>
    <row r="21" spans="1:13">
      <c r="A21" t="s">
        <v>897</v>
      </c>
      <c r="B21">
        <v>0</v>
      </c>
      <c r="C21" s="4">
        <f t="shared" si="0"/>
        <v>0</v>
      </c>
      <c r="D21" s="4">
        <f t="shared" si="1"/>
        <v>0</v>
      </c>
      <c r="E21">
        <v>16</v>
      </c>
      <c r="F21">
        <v>0.4</v>
      </c>
      <c r="G21" s="4">
        <f t="shared" si="2"/>
        <v>6.4</v>
      </c>
      <c r="H21">
        <v>5.0000000000000001E-3</v>
      </c>
      <c r="I21" s="6">
        <f t="shared" si="3"/>
        <v>5.0285714285714281E-2</v>
      </c>
      <c r="J21" s="6">
        <f t="shared" si="4"/>
        <v>15.588571428571427</v>
      </c>
      <c r="K21" s="6">
        <f t="shared" si="5"/>
        <v>14.985142857142856</v>
      </c>
      <c r="L21" s="7">
        <f t="shared" si="6"/>
        <v>15.588571428571427</v>
      </c>
      <c r="M21" s="7">
        <f t="shared" si="7"/>
        <v>14.985142857142856</v>
      </c>
    </row>
    <row r="22" spans="1:13">
      <c r="A22" t="s">
        <v>898</v>
      </c>
      <c r="B22">
        <v>1</v>
      </c>
      <c r="C22" s="4">
        <f t="shared" si="0"/>
        <v>21</v>
      </c>
      <c r="D22" s="4">
        <f t="shared" si="1"/>
        <v>25</v>
      </c>
      <c r="E22">
        <v>16</v>
      </c>
      <c r="F22">
        <v>0.4</v>
      </c>
      <c r="G22" s="4">
        <f t="shared" si="2"/>
        <v>6.4</v>
      </c>
      <c r="H22">
        <v>5.0000000000000001E-3</v>
      </c>
      <c r="I22" s="6">
        <f t="shared" si="3"/>
        <v>5.0285714285714281E-2</v>
      </c>
      <c r="J22" s="6">
        <f t="shared" si="4"/>
        <v>15.588571428571427</v>
      </c>
      <c r="K22" s="6">
        <f t="shared" si="5"/>
        <v>14.985142857142856</v>
      </c>
      <c r="L22" s="7">
        <f t="shared" si="6"/>
        <v>36.588571428571427</v>
      </c>
      <c r="M22" s="7">
        <f t="shared" si="7"/>
        <v>39.985142857142854</v>
      </c>
    </row>
    <row r="23" spans="1:13">
      <c r="A23" t="s">
        <v>899</v>
      </c>
      <c r="B23">
        <v>2</v>
      </c>
      <c r="C23" s="4">
        <f t="shared" si="0"/>
        <v>42</v>
      </c>
      <c r="D23" s="4">
        <f t="shared" si="1"/>
        <v>50</v>
      </c>
      <c r="E23">
        <v>16</v>
      </c>
      <c r="F23">
        <v>0.4</v>
      </c>
      <c r="G23" s="4">
        <f t="shared" si="2"/>
        <v>6.4</v>
      </c>
      <c r="H23">
        <v>5.0000000000000001E-3</v>
      </c>
      <c r="I23" s="6">
        <f t="shared" si="3"/>
        <v>5.0285714285714281E-2</v>
      </c>
      <c r="J23" s="6">
        <f t="shared" si="4"/>
        <v>15.588571428571427</v>
      </c>
      <c r="K23" s="6">
        <f t="shared" si="5"/>
        <v>14.985142857142856</v>
      </c>
      <c r="L23" s="7">
        <f t="shared" si="6"/>
        <v>57.588571428571427</v>
      </c>
      <c r="M23" s="7">
        <f t="shared" si="7"/>
        <v>64.985142857142861</v>
      </c>
    </row>
    <row r="24" spans="1:13">
      <c r="A24" t="s">
        <v>716</v>
      </c>
      <c r="B24">
        <v>1</v>
      </c>
      <c r="C24" s="4">
        <f t="shared" si="0"/>
        <v>21</v>
      </c>
      <c r="D24" s="4">
        <f t="shared" si="1"/>
        <v>25</v>
      </c>
      <c r="E24">
        <v>40</v>
      </c>
      <c r="F24">
        <v>0.99</v>
      </c>
      <c r="G24" s="4">
        <f t="shared" si="2"/>
        <v>39.6</v>
      </c>
      <c r="H24">
        <v>0.02</v>
      </c>
      <c r="I24" s="6">
        <f t="shared" si="3"/>
        <v>1.2445714285714284</v>
      </c>
      <c r="J24" s="6">
        <f t="shared" si="4"/>
        <v>385.81714285714281</v>
      </c>
      <c r="K24" s="6">
        <f t="shared" si="5"/>
        <v>370.88228571428567</v>
      </c>
      <c r="L24" s="7">
        <f t="shared" si="6"/>
        <v>406.81714285714281</v>
      </c>
      <c r="M24" s="7">
        <f t="shared" si="7"/>
        <v>395.88228571428567</v>
      </c>
    </row>
    <row r="25" spans="1:13">
      <c r="A25" t="s">
        <v>717</v>
      </c>
      <c r="B25">
        <v>1</v>
      </c>
      <c r="C25" s="4">
        <f t="shared" si="0"/>
        <v>21</v>
      </c>
      <c r="D25" s="4">
        <f t="shared" si="1"/>
        <v>25</v>
      </c>
      <c r="E25">
        <v>40</v>
      </c>
      <c r="F25">
        <v>0.99</v>
      </c>
      <c r="G25" s="4">
        <f t="shared" si="2"/>
        <v>39.6</v>
      </c>
      <c r="H25">
        <v>0.02</v>
      </c>
      <c r="I25" s="6">
        <f t="shared" si="3"/>
        <v>1.2445714285714284</v>
      </c>
      <c r="J25" s="6">
        <f t="shared" si="4"/>
        <v>385.81714285714281</v>
      </c>
      <c r="K25" s="6">
        <f t="shared" si="5"/>
        <v>370.88228571428567</v>
      </c>
      <c r="L25" s="7">
        <f t="shared" si="6"/>
        <v>406.81714285714281</v>
      </c>
      <c r="M25" s="7">
        <f t="shared" si="7"/>
        <v>395.88228571428567</v>
      </c>
    </row>
    <row r="26" spans="1:13">
      <c r="A26" t="s">
        <v>718</v>
      </c>
      <c r="B26">
        <v>2</v>
      </c>
      <c r="C26" s="4">
        <f t="shared" si="0"/>
        <v>42</v>
      </c>
      <c r="D26" s="4">
        <f t="shared" si="1"/>
        <v>50</v>
      </c>
      <c r="E26">
        <v>40</v>
      </c>
      <c r="F26">
        <v>0.99</v>
      </c>
      <c r="G26" s="4">
        <f t="shared" si="2"/>
        <v>39.6</v>
      </c>
      <c r="H26">
        <v>0.02</v>
      </c>
      <c r="I26" s="6">
        <f t="shared" si="3"/>
        <v>1.2445714285714284</v>
      </c>
      <c r="J26" s="6">
        <f t="shared" si="4"/>
        <v>385.81714285714281</v>
      </c>
      <c r="K26" s="6">
        <f t="shared" si="5"/>
        <v>370.88228571428567</v>
      </c>
      <c r="L26" s="7">
        <f t="shared" si="6"/>
        <v>427.81714285714281</v>
      </c>
      <c r="M26" s="7">
        <f t="shared" si="7"/>
        <v>420.88228571428567</v>
      </c>
    </row>
    <row r="27" spans="1:13">
      <c r="A27" t="s">
        <v>719</v>
      </c>
      <c r="B27">
        <v>0.11</v>
      </c>
      <c r="C27" s="4">
        <f t="shared" si="0"/>
        <v>2.31</v>
      </c>
      <c r="D27" s="4">
        <f t="shared" si="1"/>
        <v>2.75</v>
      </c>
      <c r="E27">
        <v>40</v>
      </c>
      <c r="F27">
        <v>0.99</v>
      </c>
      <c r="G27" s="4">
        <f t="shared" si="2"/>
        <v>39.6</v>
      </c>
      <c r="H27">
        <v>0.02</v>
      </c>
      <c r="I27" s="6">
        <f t="shared" si="3"/>
        <v>1.2445714285714284</v>
      </c>
      <c r="J27" s="6">
        <f t="shared" si="4"/>
        <v>385.81714285714281</v>
      </c>
      <c r="K27" s="6">
        <f t="shared" si="5"/>
        <v>370.88228571428567</v>
      </c>
      <c r="L27" s="7">
        <f t="shared" si="6"/>
        <v>388.12714285714281</v>
      </c>
      <c r="M27" s="7">
        <f t="shared" si="7"/>
        <v>373.63228571428567</v>
      </c>
    </row>
    <row r="28" spans="1:13">
      <c r="A28" t="s">
        <v>720</v>
      </c>
      <c r="B28">
        <v>0.17</v>
      </c>
      <c r="C28" s="4">
        <f t="shared" si="0"/>
        <v>3.5700000000000003</v>
      </c>
      <c r="D28" s="4">
        <f t="shared" si="1"/>
        <v>4.25</v>
      </c>
      <c r="E28">
        <v>40</v>
      </c>
      <c r="F28">
        <v>0.99</v>
      </c>
      <c r="G28" s="4">
        <f t="shared" si="2"/>
        <v>39.6</v>
      </c>
      <c r="H28">
        <v>0.02</v>
      </c>
      <c r="I28" s="6">
        <f t="shared" si="3"/>
        <v>1.2445714285714284</v>
      </c>
      <c r="J28" s="6">
        <f t="shared" si="4"/>
        <v>385.81714285714281</v>
      </c>
      <c r="K28" s="6">
        <f t="shared" si="5"/>
        <v>370.88228571428567</v>
      </c>
      <c r="L28" s="7">
        <f t="shared" si="6"/>
        <v>389.38714285714281</v>
      </c>
      <c r="M28" s="7">
        <f t="shared" si="7"/>
        <v>375.13228571428567</v>
      </c>
    </row>
    <row r="29" spans="1:13">
      <c r="A29" t="s">
        <v>721</v>
      </c>
      <c r="B29">
        <v>0.22</v>
      </c>
      <c r="C29" s="4">
        <f t="shared" si="0"/>
        <v>4.62</v>
      </c>
      <c r="D29" s="4">
        <f t="shared" si="1"/>
        <v>5.5</v>
      </c>
      <c r="E29">
        <v>40</v>
      </c>
      <c r="F29">
        <v>0.99</v>
      </c>
      <c r="G29" s="4">
        <f t="shared" si="2"/>
        <v>39.6</v>
      </c>
      <c r="H29">
        <v>0.02</v>
      </c>
      <c r="I29" s="6">
        <f t="shared" si="3"/>
        <v>1.2445714285714284</v>
      </c>
      <c r="J29" s="6">
        <f t="shared" si="4"/>
        <v>385.81714285714281</v>
      </c>
      <c r="K29" s="6">
        <f t="shared" si="5"/>
        <v>370.88228571428567</v>
      </c>
      <c r="L29" s="7">
        <f t="shared" si="6"/>
        <v>390.43714285714282</v>
      </c>
      <c r="M29" s="7">
        <f t="shared" si="7"/>
        <v>376.38228571428567</v>
      </c>
    </row>
    <row r="30" spans="1:13">
      <c r="A30" t="s">
        <v>722</v>
      </c>
      <c r="B30">
        <v>1.0900000000000001</v>
      </c>
      <c r="C30" s="4">
        <f t="shared" si="0"/>
        <v>22.89</v>
      </c>
      <c r="D30" s="4">
        <f t="shared" si="1"/>
        <v>27.250000000000004</v>
      </c>
      <c r="E30">
        <v>40</v>
      </c>
      <c r="F30">
        <v>0.99</v>
      </c>
      <c r="G30" s="4">
        <f t="shared" si="2"/>
        <v>39.6</v>
      </c>
      <c r="H30">
        <v>0.02</v>
      </c>
      <c r="I30" s="6">
        <f t="shared" si="3"/>
        <v>1.2445714285714284</v>
      </c>
      <c r="J30" s="6">
        <f t="shared" si="4"/>
        <v>385.81714285714281</v>
      </c>
      <c r="K30" s="6">
        <f t="shared" si="5"/>
        <v>370.88228571428567</v>
      </c>
      <c r="L30" s="7">
        <f t="shared" si="6"/>
        <v>408.7071428571428</v>
      </c>
      <c r="M30" s="7">
        <f t="shared" si="7"/>
        <v>398.13228571428567</v>
      </c>
    </row>
    <row r="31" spans="1:13">
      <c r="A31" t="s">
        <v>723</v>
      </c>
      <c r="B31">
        <v>1.64</v>
      </c>
      <c r="C31" s="4">
        <f t="shared" si="0"/>
        <v>34.44</v>
      </c>
      <c r="D31" s="4">
        <f t="shared" si="1"/>
        <v>41</v>
      </c>
      <c r="E31">
        <v>40</v>
      </c>
      <c r="F31">
        <v>0.99</v>
      </c>
      <c r="G31" s="4">
        <f t="shared" si="2"/>
        <v>39.6</v>
      </c>
      <c r="H31">
        <v>0.02</v>
      </c>
      <c r="I31" s="6">
        <f t="shared" si="3"/>
        <v>1.2445714285714284</v>
      </c>
      <c r="J31" s="6">
        <f t="shared" si="4"/>
        <v>385.81714285714281</v>
      </c>
      <c r="K31" s="6">
        <f t="shared" si="5"/>
        <v>370.88228571428567</v>
      </c>
      <c r="L31" s="7">
        <f t="shared" si="6"/>
        <v>420.25714285714281</v>
      </c>
      <c r="M31" s="7">
        <f t="shared" si="7"/>
        <v>411.88228571428567</v>
      </c>
    </row>
    <row r="32" spans="1:13">
      <c r="A32" t="s">
        <v>724</v>
      </c>
      <c r="B32">
        <v>2.1800000000000002</v>
      </c>
      <c r="C32" s="4">
        <f t="shared" si="0"/>
        <v>45.78</v>
      </c>
      <c r="D32" s="4">
        <f t="shared" si="1"/>
        <v>54.500000000000007</v>
      </c>
      <c r="E32">
        <v>40</v>
      </c>
      <c r="F32">
        <v>0.99</v>
      </c>
      <c r="G32" s="4">
        <f t="shared" si="2"/>
        <v>39.6</v>
      </c>
      <c r="H32">
        <v>0.02</v>
      </c>
      <c r="I32" s="6">
        <f t="shared" si="3"/>
        <v>1.2445714285714284</v>
      </c>
      <c r="J32" s="6">
        <f t="shared" si="4"/>
        <v>385.81714285714281</v>
      </c>
      <c r="K32" s="6">
        <f t="shared" si="5"/>
        <v>370.88228571428567</v>
      </c>
      <c r="L32" s="7">
        <f t="shared" si="6"/>
        <v>431.59714285714279</v>
      </c>
      <c r="M32" s="7">
        <f t="shared" si="7"/>
        <v>425.38228571428567</v>
      </c>
    </row>
    <row r="33" spans="1:13">
      <c r="A33" t="s">
        <v>725</v>
      </c>
      <c r="B33">
        <v>0.6</v>
      </c>
      <c r="C33" s="4">
        <f t="shared" si="0"/>
        <v>12.6</v>
      </c>
      <c r="D33" s="4">
        <f t="shared" si="1"/>
        <v>15</v>
      </c>
      <c r="E33">
        <v>40</v>
      </c>
      <c r="F33">
        <v>0.99</v>
      </c>
      <c r="G33" s="4">
        <f t="shared" si="2"/>
        <v>39.6</v>
      </c>
      <c r="H33">
        <v>0.02</v>
      </c>
      <c r="I33" s="6">
        <f t="shared" si="3"/>
        <v>1.2445714285714284</v>
      </c>
      <c r="J33" s="6">
        <f t="shared" si="4"/>
        <v>385.81714285714281</v>
      </c>
      <c r="K33" s="6">
        <f t="shared" si="5"/>
        <v>370.88228571428567</v>
      </c>
      <c r="L33" s="7">
        <f t="shared" si="6"/>
        <v>398.41714285714284</v>
      </c>
      <c r="M33" s="7">
        <f t="shared" si="7"/>
        <v>385.88228571428567</v>
      </c>
    </row>
    <row r="34" spans="1:13">
      <c r="A34" t="s">
        <v>726</v>
      </c>
      <c r="B34">
        <v>0.9</v>
      </c>
      <c r="C34" s="4">
        <f t="shared" si="0"/>
        <v>18.900000000000002</v>
      </c>
      <c r="D34" s="4">
        <f t="shared" si="1"/>
        <v>22.5</v>
      </c>
      <c r="E34">
        <v>40</v>
      </c>
      <c r="F34">
        <v>0.99</v>
      </c>
      <c r="G34" s="4">
        <f t="shared" si="2"/>
        <v>39.6</v>
      </c>
      <c r="H34">
        <v>0.02</v>
      </c>
      <c r="I34" s="6">
        <f t="shared" si="3"/>
        <v>1.2445714285714284</v>
      </c>
      <c r="J34" s="6">
        <f t="shared" si="4"/>
        <v>385.81714285714281</v>
      </c>
      <c r="K34" s="6">
        <f t="shared" si="5"/>
        <v>370.88228571428567</v>
      </c>
      <c r="L34" s="7">
        <f t="shared" si="6"/>
        <v>404.71714285714279</v>
      </c>
      <c r="M34" s="7">
        <f t="shared" si="7"/>
        <v>393.38228571428567</v>
      </c>
    </row>
    <row r="35" spans="1:13">
      <c r="A35" t="s">
        <v>727</v>
      </c>
      <c r="B35">
        <v>1.19</v>
      </c>
      <c r="C35" s="4">
        <f t="shared" si="0"/>
        <v>24.99</v>
      </c>
      <c r="D35" s="4">
        <f t="shared" si="1"/>
        <v>29.75</v>
      </c>
      <c r="E35">
        <v>40</v>
      </c>
      <c r="F35">
        <v>0.99</v>
      </c>
      <c r="G35" s="4">
        <f t="shared" si="2"/>
        <v>39.6</v>
      </c>
      <c r="H35">
        <v>0.02</v>
      </c>
      <c r="I35" s="6">
        <f t="shared" si="3"/>
        <v>1.2445714285714284</v>
      </c>
      <c r="J35" s="6">
        <f t="shared" si="4"/>
        <v>385.81714285714281</v>
      </c>
      <c r="K35" s="6">
        <f t="shared" si="5"/>
        <v>370.88228571428567</v>
      </c>
      <c r="L35" s="7">
        <f t="shared" si="6"/>
        <v>410.80714285714282</v>
      </c>
      <c r="M35" s="7">
        <f t="shared" si="7"/>
        <v>400.63228571428567</v>
      </c>
    </row>
  </sheetData>
  <mergeCells count="11">
    <mergeCell ref="B1:D1"/>
    <mergeCell ref="E1:K1"/>
    <mergeCell ref="C3:D3"/>
    <mergeCell ref="J3:K3"/>
    <mergeCell ref="L3:M3"/>
    <mergeCell ref="B3:B4"/>
    <mergeCell ref="E3:E4"/>
    <mergeCell ref="F3:F4"/>
    <mergeCell ref="G3:G4"/>
    <mergeCell ref="H3:H4"/>
    <mergeCell ref="I3:I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2938E3FAC2B884A82855097EAC4703A" ma:contentTypeVersion="11" ma:contentTypeDescription="Crear nuevo documento." ma:contentTypeScope="" ma:versionID="7ced5b029888bd48ff85d199318c2220">
  <xsd:schema xmlns:xsd="http://www.w3.org/2001/XMLSchema" xmlns:xs="http://www.w3.org/2001/XMLSchema" xmlns:p="http://schemas.microsoft.com/office/2006/metadata/properties" xmlns:ns2="40b93596-6855-47ab-b598-0d04077ce17a" xmlns:ns3="7c0f64b1-033a-4577-86fa-591080de61f2" targetNamespace="http://schemas.microsoft.com/office/2006/metadata/properties" ma:root="true" ma:fieldsID="aea66aacf4982e742ecf5b7858640178" ns2:_="" ns3:_="">
    <xsd:import namespace="40b93596-6855-47ab-b598-0d04077ce17a"/>
    <xsd:import namespace="7c0f64b1-033a-4577-86fa-591080de61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b93596-6855-47ab-b598-0d04077ce1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317cfaee-bc2f-49dd-a9d0-08dc1a2070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0f64b1-033a-4577-86fa-591080de61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9ba50af-afd9-4207-8c39-ecb3fbd07ced}" ma:internalName="TaxCatchAll" ma:showField="CatchAllData" ma:web="7c0f64b1-033a-4577-86fa-591080de61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0b93596-6855-47ab-b598-0d04077ce17a">
      <Terms xmlns="http://schemas.microsoft.com/office/infopath/2007/PartnerControls"/>
    </lcf76f155ced4ddcb4097134ff3c332f>
    <TaxCatchAll xmlns="7c0f64b1-033a-4577-86fa-591080de61f2" xsi:nil="true"/>
  </documentManagement>
</p:properties>
</file>

<file path=customXml/itemProps1.xml><?xml version="1.0" encoding="utf-8"?>
<ds:datastoreItem xmlns:ds="http://schemas.openxmlformats.org/officeDocument/2006/customXml" ds:itemID="{7665BFB4-D1A8-4709-AEF7-77E8CA6214ED}">
  <ds:schemaRefs>
    <ds:schemaRef ds:uri="http://schemas.microsoft.com/sharepoint/v3/contenttype/forms"/>
  </ds:schemaRefs>
</ds:datastoreItem>
</file>

<file path=customXml/itemProps2.xml><?xml version="1.0" encoding="utf-8"?>
<ds:datastoreItem xmlns:ds="http://schemas.openxmlformats.org/officeDocument/2006/customXml" ds:itemID="{1EFAAA3F-63AD-47BA-A567-1AE2C9707B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b93596-6855-47ab-b598-0d04077ce17a"/>
    <ds:schemaRef ds:uri="7c0f64b1-033a-4577-86fa-591080de61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5DE8F4-7BB7-4388-8842-64FAF26E42D5}">
  <ds:schemaRefs>
    <ds:schemaRef ds:uri="http://schemas.microsoft.com/office/2006/metadata/properties"/>
    <ds:schemaRef ds:uri="http://schemas.microsoft.com/office/infopath/2007/PartnerControls"/>
    <ds:schemaRef ds:uri="40b93596-6855-47ab-b598-0d04077ce17a"/>
    <ds:schemaRef ds:uri="7c0f64b1-033a-4577-86fa-591080de61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EMISIONES</vt:lpstr>
      <vt:lpstr>OTROS DATOS</vt:lpstr>
      <vt:lpstr>RESUMEN RESULTADOS </vt:lpstr>
      <vt:lpstr>Hoja1</vt:lpstr>
      <vt:lpstr>Otros factores</vt:lpstr>
      <vt:lpstr>EMISIONES!Área_de_impresión</vt:lpstr>
      <vt:lpstr>'RESUMEN RESULTADOS '!Área_de_impresión</vt:lpstr>
      <vt:lpstr>Otras</vt:lpstr>
      <vt:lpstr>Pastizales</vt:lpstr>
      <vt:lpstr>EMISIONES!Tierras_de_Cultivo</vt:lpstr>
      <vt:lpstr>EMISIONES!Tierras_Forestales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 Cecilia Villalba</dc:creator>
  <cp:keywords/>
  <dc:description/>
  <cp:lastModifiedBy>Carlos Ariel Clement De La Cruz</cp:lastModifiedBy>
  <cp:revision/>
  <dcterms:created xsi:type="dcterms:W3CDTF">2014-09-25T16:24:00Z</dcterms:created>
  <dcterms:modified xsi:type="dcterms:W3CDTF">2026-09-10T19:41:17Z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3082-11.1.0.10161</vt:lpwstr>
  </property>
  <property fmtid="{D5CDD505-2E9C-101B-9397-08002B2CF9AE}" pid="3" name="ContentTypeId">
    <vt:lpwstr>0x010100A2938E3FAC2B884A82855097EAC4703A</vt:lpwstr>
  </property>
  <property fmtid="{D5CDD505-2E9C-101B-9397-08002B2CF9AE}" pid="4" name="MediaServiceImageTags">
    <vt:lpwstr/>
  </property>
</Properties>
</file>